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846" firstSheet="1" activeTab="3"/>
  </bookViews>
  <sheets>
    <sheet name="Dati" sheetId="1" state="hidden" r:id="rId1"/>
    <sheet name="Jumts" sheetId="2" r:id="rId2"/>
    <sheet name="Bēniņi" sheetId="3" r:id="rId3"/>
    <sheet name="Kopsavilkums" sheetId="4" r:id="rId4"/>
    <sheet name="Koptāme" sheetId="5" r:id="rId5"/>
    <sheet name="Skadr.apr." sheetId="6" r:id="rId6"/>
  </sheets>
  <definedNames/>
  <calcPr fullCalcOnLoad="1"/>
</workbook>
</file>

<file path=xl/sharedStrings.xml><?xml version="1.0" encoding="utf-8"?>
<sst xmlns="http://schemas.openxmlformats.org/spreadsheetml/2006/main" count="385" uniqueCount="222">
  <si>
    <t xml:space="preserve">Izpildītājs: </t>
  </si>
  <si>
    <t>SIA  INOVA  Reģ. nr. LV40103233035</t>
  </si>
  <si>
    <t xml:space="preserve">Būves nosaukums: </t>
  </si>
  <si>
    <t>Daudzdzīvokļu ēka</t>
  </si>
  <si>
    <t xml:space="preserve">Objekta nosaukums: </t>
  </si>
  <si>
    <t>Vienkāršota renovācija</t>
  </si>
  <si>
    <t>Objekta adrese:</t>
  </si>
  <si>
    <t>Liepāja, Dorupes 34</t>
  </si>
  <si>
    <t>Tāmes izmaksas (bez PVN):</t>
  </si>
  <si>
    <t>Tāme sastādīta 2011. gada tirgus cenās</t>
  </si>
  <si>
    <t>Tāme sastādīta 2011. gada 05. septembrī</t>
  </si>
  <si>
    <t>Platums (m)</t>
  </si>
  <si>
    <t>Dziļums (m)</t>
  </si>
  <si>
    <t>Augstums (m)</t>
  </si>
  <si>
    <t>Apbūves laukums (m²)</t>
  </si>
  <si>
    <t>Perimetrs (m)</t>
  </si>
  <si>
    <t>Fasādes laukums (m²)</t>
  </si>
  <si>
    <t>Vecie logi dzīvokļos(m²)</t>
  </si>
  <si>
    <t>Jaunie logi dzīvokļos(m²)</t>
  </si>
  <si>
    <t>Vecie logi koplietošanas telpās (m²)</t>
  </si>
  <si>
    <t>Jaunie logi koplietošanas telpās (m²)</t>
  </si>
  <si>
    <t>Logi kopā (m²)</t>
  </si>
  <si>
    <t>Lodžijas</t>
  </si>
  <si>
    <t>Cokola augstums (m)</t>
  </si>
  <si>
    <t>Cokola laukums (m²)</t>
  </si>
  <si>
    <t>Pamatu siltinājuma augstums (m)</t>
  </si>
  <si>
    <t>Pamatu siltinājuma laukums (m²)</t>
  </si>
  <si>
    <t>Ārdurvju skaits (ieskaitot kāpņu telpu, pagrabu u.c.)</t>
  </si>
  <si>
    <t>Ieejas jumtiņu skaits (gab)</t>
  </si>
  <si>
    <t>Ieejas jumtiņa platums</t>
  </si>
  <si>
    <t>Ieejas jumtiņa dziļums</t>
  </si>
  <si>
    <t>Ieejas jumtiņu platība (m²)</t>
  </si>
  <si>
    <t>Jumta kores augstums (m)</t>
  </si>
  <si>
    <t>Jumta platība</t>
  </si>
  <si>
    <t>Pamatu pēdas laukums</t>
  </si>
  <si>
    <t>Skursteņi (gab)</t>
  </si>
  <si>
    <t>Ventilācijas izvadi (gab)</t>
  </si>
  <si>
    <t>Jumta lūkas (gab)</t>
  </si>
  <si>
    <t>Radiatori</t>
  </si>
  <si>
    <t>Apkures caurules (m)</t>
  </si>
  <si>
    <t>Karstā ūdens caurules (m)</t>
  </si>
  <si>
    <t>Darba samaksas likme</t>
  </si>
  <si>
    <t>Transporta izdevumi</t>
  </si>
  <si>
    <t>Pieskaitāmie izdevumi</t>
  </si>
  <si>
    <t>Peļņa</t>
  </si>
  <si>
    <t>Nr.p.k.</t>
  </si>
  <si>
    <t>Daudzums</t>
  </si>
  <si>
    <t>m²</t>
  </si>
  <si>
    <t>m</t>
  </si>
  <si>
    <t xml:space="preserve">m </t>
  </si>
  <si>
    <t>Bēniņi</t>
  </si>
  <si>
    <t>kg</t>
  </si>
  <si>
    <t>Stiklašķiedras siets</t>
  </si>
  <si>
    <t>l</t>
  </si>
  <si>
    <t>m³</t>
  </si>
  <si>
    <t>Kopsavilkums pa konstrukciju un elementu veidiem</t>
  </si>
  <si>
    <t xml:space="preserve">Pasūtītājs: </t>
  </si>
  <si>
    <t xml:space="preserve">Izpīldītājs: </t>
  </si>
  <si>
    <t xml:space="preserve">Objekta adrese: </t>
  </si>
  <si>
    <t xml:space="preserve">Kopējā darbietilpība, c/h </t>
  </si>
  <si>
    <t>Kods, tāmes Nr.</t>
  </si>
  <si>
    <t>Darba veids vai konstruktīvā elementa nosaukums</t>
  </si>
  <si>
    <t>Darba laiks c/h</t>
  </si>
  <si>
    <t>Kopā tiešās izmaksas</t>
  </si>
  <si>
    <t>Virsizdevumi</t>
  </si>
  <si>
    <t xml:space="preserve">Plānotā peļņa </t>
  </si>
  <si>
    <t>Kopā bez PVN</t>
  </si>
  <si>
    <t>KOPĀ:</t>
  </si>
  <si>
    <t>PAVISAM KOPĀ:</t>
  </si>
  <si>
    <t>Par kopējo summu bez PVN, EUR</t>
  </si>
  <si>
    <t>Darba alga kopā EUR</t>
  </si>
  <si>
    <t>Materiāli kopā EUR</t>
  </si>
  <si>
    <t>Mehānismi kopā EUR</t>
  </si>
  <si>
    <t xml:space="preserve"> Quartzgrunts </t>
  </si>
  <si>
    <t>Dībeļi EJOT vai ekv.</t>
  </si>
  <si>
    <t>Būvprakses sertifikāta Nr. 4 - 02839</t>
  </si>
  <si>
    <t>Z.v.</t>
  </si>
  <si>
    <t>_____.gada. ___. ___________</t>
  </si>
  <si>
    <t>Paredzamās līgumcenas koptāme</t>
  </si>
  <si>
    <t>Objekta nosaukums</t>
  </si>
  <si>
    <t>Objekta izmaksas (euro)</t>
  </si>
  <si>
    <t xml:space="preserve">Tiešās izmaksas kopā, t. sk. darba devēja sociālais nodoklis (24,09%)
iešās izmaksas kopā, t. sk. darba devēja sociālais nodoklis (%)
iešās izmaksas kopā, t. sk. darba devēja sociālais nodoklis (%)
iešās izmaksas kopā, t. sk. darba devēja sociālais nodoklis (%)
</t>
  </si>
  <si>
    <t>Kods</t>
  </si>
  <si>
    <t>Nr.</t>
  </si>
  <si>
    <t>Būvdarbu nosaukums</t>
  </si>
  <si>
    <t>Mērv.</t>
  </si>
  <si>
    <t>Laika norma (c/h)</t>
  </si>
  <si>
    <t>Stundu likme (Euro/h)</t>
  </si>
  <si>
    <t xml:space="preserve">Vienības izmaksas   Euro  </t>
  </si>
  <si>
    <t>Darbietilpība (c/h)</t>
  </si>
  <si>
    <t xml:space="preserve">Kopējās izmaksas  Euro </t>
  </si>
  <si>
    <t xml:space="preserve">Darba alga             Euro  </t>
  </si>
  <si>
    <t xml:space="preserve">Būvizstrādājumi              Euro  </t>
  </si>
  <si>
    <t xml:space="preserve">Mehānismi        Euro  </t>
  </si>
  <si>
    <t xml:space="preserve">Kopā   Euro </t>
  </si>
  <si>
    <t xml:space="preserve">Darba alga            Euro  </t>
  </si>
  <si>
    <t xml:space="preserve">Būvizstrādājumi                  Euro  </t>
  </si>
  <si>
    <t xml:space="preserve">Mehānismi           Euro </t>
  </si>
  <si>
    <t>gb</t>
  </si>
  <si>
    <t>kpl.</t>
  </si>
  <si>
    <t>Tāme sastādīta 2018. gada tirgus cenās pamatojoties uz AR daļas rasējumiem.</t>
  </si>
  <si>
    <t>Sienas armēšana ar sietu līmjavā</t>
  </si>
  <si>
    <t>Bēniņu pārseguma attīrīšana, būvgružu utilizācija</t>
  </si>
  <si>
    <t>Fasādes cietā minerālvate (Paroc linio 10 vai analogs) 100mm</t>
  </si>
  <si>
    <t>Līmēšanai Ceresit CT84</t>
  </si>
  <si>
    <t>Armēšanas java, Ceresit CT 190</t>
  </si>
  <si>
    <t>Tonēta kvarca grunts CT16</t>
  </si>
  <si>
    <t>Dekoratīvais apmetums, Ceresit CT74 tonēts</t>
  </si>
  <si>
    <t>Gāze</t>
  </si>
  <si>
    <t>bal</t>
  </si>
  <si>
    <t>Siltumizolācijas stūris 50x50 mm</t>
  </si>
  <si>
    <t>Līmēšanai Ceresit CT84 vai ekv.</t>
  </si>
  <si>
    <t>Skaidrojošais apraksts</t>
  </si>
  <si>
    <t xml:space="preserve">Būves nosaukums </t>
  </si>
  <si>
    <t xml:space="preserve">Objekta adrese   </t>
  </si>
  <si>
    <t>Būvprojekta realizācijas izmaksu apēķina izejas dati :</t>
  </si>
  <si>
    <t>Objekta  būvniecības kopējās izmaksas, ieskaitot 21% PVN,  (€)</t>
  </si>
  <si>
    <t>Objekta  izbūves kopējā darbietilpība, c/h:</t>
  </si>
  <si>
    <t>Paredzēts, ka būvdarbus veiks būvorganizācija</t>
  </si>
  <si>
    <t>virsizdevumi</t>
  </si>
  <si>
    <t>plānotā peļņa</t>
  </si>
  <si>
    <t xml:space="preserve">Aprēķini sastādīti, lai pasūtītājs orientētos iespējamās darbu izmaksās. Ievērojot dažādos cenu veidojošos faktorus un inflāciju, izmaksas var svārstīties. </t>
  </si>
  <si>
    <t>Šis būvniecības izmaksu aprēķins ir spēkā 2 mēnešus pēc nodošanas pasūtītājam brīža. Pēc minētā termiņa beigām būvniecības izmaksu aprēķina jāpārskata atbilstoši ekonomiskās situācijas izmaiņām valstī.</t>
  </si>
  <si>
    <t>Iekārtu, konstrukciju un materiālu kopsavilkuma būvdarbu apjomus skatīt kopā ar būvdarbu apjomu sarakstu, projekta dokumentāciju un grafisko daļu.</t>
  </si>
  <si>
    <t>Izstrādājot piedāvājumu, būvuzņēmējam rūpīgi jāpārskata projekts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</si>
  <si>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Materiālu komplektāciju veikt atbilstoši izstrādātājam projektam, ražotājfirmu un LR normatīvo aktu nosacījumiem.</t>
  </si>
  <si>
    <t>Projektā rekomendētie materiālu tipi var tikt nomainīti pret izstrādājumiem ar ekvivalentu vai augstāku kvalitāti, saskaņojot to ar projekta autoru un pasūtītāju.</t>
  </si>
  <si>
    <t>Visi dati iekārtu, konstrukciju un materiālu kopsavilkumā doti orientējoši tāmes sagatavošanai. Būvdarbu apjomi var tikt mainīti, saskaņojot  izmaiņas ar pasūtītāju, būvuzraugu un autoruzraugu.</t>
  </si>
  <si>
    <t>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t>
  </si>
  <si>
    <t xml:space="preserve">Sastādīja: R. Lipšāns       </t>
  </si>
  <si>
    <t xml:space="preserve">Pārbaudīja: E.Sturmovičs  </t>
  </si>
  <si>
    <t>Būvprakses sertifikāta Nr. 4 - 03199</t>
  </si>
  <si>
    <t xml:space="preserve">Saskaņā ar LBN 501 - 17 "Būvizmaksu noteikšanas kārtība" punktu 3.9. virsizdevumi – papildu izmaksas, kuras saistītas ar būvlaukuma iekārtošanu, uzturēšanu, būvdarbu organizēšanu, vadīšanu, darba aizsardzību un apdrošināšanu, citas ar būvdarbu realizāciju saistītas izmaksas. </t>
  </si>
  <si>
    <t>Pārbaudīja: E.Sturmovičs  _________________</t>
  </si>
  <si>
    <t>Sastādīja: R. Lipšāns _____________________</t>
  </si>
  <si>
    <t>Kopā EUR</t>
  </si>
  <si>
    <t>Tāme sastādīta 2019. gada 21.janvārī</t>
  </si>
  <si>
    <t>SIA"Daugavpils dzīvokļu un komunālās saimniecības uzņēmums"</t>
  </si>
  <si>
    <t>Dzīvojamās mājas jumta seguma nomaiņa, bēniņu un mazā jumta pārseguma siltināšana</t>
  </si>
  <si>
    <t>Plakanais jumts</t>
  </si>
  <si>
    <t>Jumts virs lodžijām</t>
  </si>
  <si>
    <t>Aeratori, ALIPAI-75,d=75mm, hermētiķis</t>
  </si>
  <si>
    <t>Dzelzsbetona paneļu jumta seguma attīrīšana, bojāto konstrukciju attīrīšana no atbirušā betona fragmentiem, stiegrojuma attīrīšana no korozijas slāņa, būvgružu savākšana un izvešana</t>
  </si>
  <si>
    <t>kpl</t>
  </si>
  <si>
    <t>Antenu un citu lieko elementu noņemšana vai pārvietošana (ja nepieciešams), pēc jumta izbūves atpakaļmontāža, traucējošo instalācijas kabeļu atvirzīšana uz jumta atjaunošanas laiku, atpakaļmontāža</t>
  </si>
  <si>
    <t>Demontāžas darbi</t>
  </si>
  <si>
    <t>Skārda pieslēguma un nosegdetaļu demontāža (parapeti, lāseņi utt.), t.sk. būvgružu savākšana un izvešana</t>
  </si>
  <si>
    <t>Jumta seguma atjaunošana ēkas jumtiem</t>
  </si>
  <si>
    <t>Esošā jumta nožogojuma stiprinājumu pārmontāža pie pārseguma paneļa (AR-10; AR-12), konstruksiju attīrīšana, apstrāde ar pretkorozijas aizsardzības līdzekļiem, krāsojuma atjaunošana, stiprinājumi, palīgmateriāli</t>
  </si>
  <si>
    <r>
      <t>Technoelast EPP (biezums 4 mm, svars 4 kg/m</t>
    </r>
    <r>
      <rPr>
        <vertAlign val="superscript"/>
        <sz val="7"/>
        <color indexed="8"/>
        <rFont val="Arial"/>
        <family val="2"/>
      </rPr>
      <t>2</t>
    </r>
    <r>
      <rPr>
        <sz val="7"/>
        <color indexed="8"/>
        <rFont val="Arial"/>
        <family val="2"/>
      </rPr>
      <t>) vai ekv.</t>
    </r>
  </si>
  <si>
    <r>
      <t>Technoelast EKP (biezums 4,2 mm, svars 5.2 kg/m</t>
    </r>
    <r>
      <rPr>
        <vertAlign val="superscript"/>
        <sz val="7"/>
        <color indexed="8"/>
        <rFont val="Arial"/>
        <family val="2"/>
      </rPr>
      <t>2</t>
    </r>
    <r>
      <rPr>
        <sz val="7"/>
        <color indexed="8"/>
        <rFont val="Arial"/>
        <family val="2"/>
      </rPr>
      <t>) vai ekv.</t>
    </r>
  </si>
  <si>
    <t>Jumta lūka ar gāzes amortizātoriem 815x615 mm, akmens vates stūra aizpildījums 100x100 mm, hermētiķi, stiprinājumi</t>
  </si>
  <si>
    <t>gb.</t>
  </si>
  <si>
    <t>Skārda lāsenis; - b=0.5 mm PE pārklājujms, stiprinājumi palīgmateriāli</t>
  </si>
  <si>
    <t>Skārda elementa nosegcepures, metāla balstu uzstādīšana jumta paneļu savienujuma vietās; AR-12</t>
  </si>
  <si>
    <t>Skārda elementu uzstādīšana pa jumta garenmalām un kāpņu telpu izvirzījumos; AR-10</t>
  </si>
  <si>
    <t>Jumta paneļu bojāto virsmu, savienojošo elementu attīrīšana ar saspiesta gaisa strūklu. Bojāto vietu atjaunošana izmantojot Ceresit PCC sistēmu saskaņā ar ražotāja un projekta instrukcijām, vai ekv., šuvju; aizpildīšana</t>
  </si>
  <si>
    <t>Esošo ventilācijas izvadu skārda apšuvuma demontāža bēniņu telpās un jumta izvadiem</t>
  </si>
  <si>
    <t>Esošo atkritumu ventilācijas izvadu skārda apšuvuma demontāža jumta izvadiem</t>
  </si>
  <si>
    <t>Esošo kāpņu no bēniņiem uz jumtu - attīrīt no korozijas un apstrādāt ar pretkorozijas līdzekļiem; - krāsot, nepieciešamības gadījumā atjaunot metinājuma vietas, stiprināšana pie pārseguma; AR-13</t>
  </si>
  <si>
    <t>Starpēku savienojuma jumts</t>
  </si>
  <si>
    <t>Savienojošā jumta seguma demontāža, attīrīšana, t.sk. būvgružu savākšana un izvešana</t>
  </si>
  <si>
    <t>Lodžiju jumta seguma demontāža, attīrīšana, t.sk. būvgružu savākšana un izvešana</t>
  </si>
  <si>
    <t>Jumta plaknes izdrupušo vietu aizpildīšana ar bezrukuma remontjavu, Ceresit PCC tehnoloģija vai ekv.</t>
  </si>
  <si>
    <t>Tvaika izolācijas ieklāšana; - Paroc XMW 020</t>
  </si>
  <si>
    <t>Siltumizolācijas 160mm; Paroc Ros 30 ar vēdināšanas rievām, λ ≤0,036 W/mK  vai ekv.</t>
  </si>
  <si>
    <t>Siltumizolācijas 40mm; Paroc Ros 50, λ ≤0,038 W/mK  vai ekv.</t>
  </si>
  <si>
    <t>Virsmas siltināšana ar siltumizolācijas vati; P-3; AR-17</t>
  </si>
  <si>
    <t>Imprignētas koka brusas 50x200x1000 mm, s-600 mm, leņķdzelži, stiprinājumi, ķīmiskie dībeļi pēc nepieciešamības</t>
  </si>
  <si>
    <t>Slīpuma izveidošana; - ThermoWhie, WD 100 R,  λ ≤0,049 W/mK, h=10-80 mm, palīgmateriāli</t>
  </si>
  <si>
    <t>Parapeta augstākā malas piemūrēšana no vieglbetona blokiem, h-200 mm, b~250 mm, plaknes apstrāde ar bituma mastiku; - vieglbetona bloki, stiegrojums, mūrjava, bituma grunts, palīgmateriāli; AR-17</t>
  </si>
  <si>
    <r>
      <t xml:space="preserve">Skārda lāsenis savienojumā ar sienu; </t>
    </r>
    <r>
      <rPr>
        <sz val="7"/>
        <color indexed="8"/>
        <rFont val="Arial"/>
        <family val="2"/>
      </rPr>
      <t>~200 mm rūpnieciski krāsots, b=0.5 mm, PE pārklājums, hermētiķiis - Ceresit FT 101 vai ekv.; AR-14</t>
    </r>
  </si>
  <si>
    <r>
      <t xml:space="preserve">Skārda lāsenis pie notekas; </t>
    </r>
    <r>
      <rPr>
        <sz val="7"/>
        <color indexed="8"/>
        <rFont val="Arial"/>
        <family val="2"/>
      </rPr>
      <t>~300 mm rūpnieciski krāsots, b=0.5 mm, PE pārklājums; AR-17</t>
    </r>
  </si>
  <si>
    <t>Jumta seguma izveidošana - uzkausējot uz sienas un parapetu - nosedzot ar skārda lāseni, aeratoru uzstādīšana, hermatizācija, locījumu vietās papildus Tecnoelast EKP kārta; AR-17</t>
  </si>
  <si>
    <t>Skārda elementa nosegcepures, metāla balstu uzstādīšana jumta parapetiem, gala sienās; AR-11</t>
  </si>
  <si>
    <t>Skārda nosegcepure; - b=0.5 mm PE pārklājujms, stiprinājumi palīgmateriāli</t>
  </si>
  <si>
    <t>Skārda elementa nosegcepures, metāla balstu uzstādīšana jumta parapetiem, gala sienās; AR-17</t>
  </si>
  <si>
    <t>Metāla balsts b=3*30 mm, pretkorozijas pārklājums, solis 600 mm, stiprinājumi DIN 571 8X65 mm, palīgmateriāli</t>
  </si>
  <si>
    <t>Jumta kārbas nosegšana ar apdares dēļiem; - apdares dēļi 20x120 mm, antiseptizēti, krāsoti fasādes tonī, stiprinājumi, palīgmateriāli</t>
  </si>
  <si>
    <t>Lietus ūdeņu novadīšanas sistēmas atjaunošana, noteku izvietojuma saglabās esošo. Teknes - 150 mm, notekas - 120 mm; 0.6 mm, PE pārklājums abpusējs, kronšteini, stiprinājumi, palīgmateriāli</t>
  </si>
  <si>
    <t xml:space="preserve">Jumta lapu ķērāju ar sietiņu uzstādīšana, hermatizācija, HL62/7, DN75, palīgmateriāli  </t>
  </si>
  <si>
    <t>Jaunu metāla kāpņu izgatavošana un uzstādīšana, stiprinājumi Fischer Thermax 16 M12 vai ekv. (L=42350 mm) (skat. lapu AR-18, M-12), stiprinājumi, palīgmateriāli</t>
  </si>
  <si>
    <t>Drošības cilpas uzstādīšana pie kāpnēm; - Drošības cilpa ABS-Lock X-SR-B, stiprinājumi, palīgmateriāli; AR-18</t>
  </si>
  <si>
    <t>Slīpuma izveidošana; - ThermoWhie, WD 100 R,  λ ≤0,049 W/mK, h=100-200 mm, palīgmateriāli</t>
  </si>
  <si>
    <t>Virsmas siltināšana ar siltumizolācijas vati; P-3; AR-7; AR-15</t>
  </si>
  <si>
    <t>Siltumizolācijas stūris 100x100 mm</t>
  </si>
  <si>
    <r>
      <t xml:space="preserve">Skārda lāsenis savienojumā ar sienu; </t>
    </r>
    <r>
      <rPr>
        <sz val="7"/>
        <color indexed="8"/>
        <rFont val="Arial"/>
        <family val="2"/>
      </rPr>
      <t>~200-300 mm rūpnieciski krāsots, b=0.5 mm, PE pārklājums, hermētiķiis - Ceresit FT 101 vai ekv.; AR-14</t>
    </r>
  </si>
  <si>
    <t>Pilastru nosedzošo skārda elementu uzstādīšana, stiprināšana, palīgmateriāli</t>
  </si>
  <si>
    <r>
      <t xml:space="preserve">Skārda lāsenis pie fasādes plaknes; </t>
    </r>
    <r>
      <rPr>
        <sz val="7"/>
        <color indexed="8"/>
        <rFont val="Arial"/>
        <family val="2"/>
      </rPr>
      <t>~500 mm rūpnieciski krāsots, b=0.5 mm, PE pārklājums; AR-15</t>
    </r>
  </si>
  <si>
    <t>Jumta seguma izveidošana - uzkausējot uz sienas un parapetu - nosedzot ar skārda lāseni, aeratoru uzstādīšana, hermatizācija, locījumu vietās papildus Tecnoelast EKP kārta; AR-15</t>
  </si>
  <si>
    <t>Dībeļi - EcoTek-50xL dībeļi un FBS-R-6.3xL skrūvēm</t>
  </si>
  <si>
    <r>
      <t xml:space="preserve">Skārda lāsenis pie lodžijas pārseguma noslēguma; </t>
    </r>
    <r>
      <rPr>
        <sz val="7"/>
        <color indexed="8"/>
        <rFont val="Arial"/>
        <family val="2"/>
      </rPr>
      <t>~500 mm rūpnieciski krāsots, b=0.5 mm, PE pārklājums, distanceri, stiprinājumi; AR-15</t>
    </r>
  </si>
  <si>
    <t>Bēniņu pārseguma siltināšana, vates pārklāšana ar plēvi, nostiprināšana; P-1; AR-10, AR-7</t>
  </si>
  <si>
    <t>Sienas siltināšana 200mm vate, λ ≤0,036 W/mK; kāpņu telpas sienas no bēniņu puses; S-1; AR-2; AR-3; AR-7</t>
  </si>
  <si>
    <t>Laipu izbūve, platums - 1200 mm</t>
  </si>
  <si>
    <t>Inprignēti kokmateriāli; balsts 100x100x1200 mm, s-1000 mm; 100x100x220 mm, s-1000 mm; šķērskarkass 40x100x1200 mm, s- 1000 mm; dēļi 40x100x1200 mm, stiprinājumi, būvkalumi</t>
  </si>
  <si>
    <t>Ventilācijas kanālu izvadu tīrīšana</t>
  </si>
  <si>
    <t>Ventilācijas skārda izvadu ar nosegcepurēm un pamatnes nosedzošā skārda uzstādīšana virs jumta līmeņa, b=0.5 mm PE pārklājujms, hermetizācija, palīgmateriāli, stiprinājumi</t>
  </si>
  <si>
    <t>Ventilācijas skārda izvadu ar nosegcepurēm un pamatnes nosedzošā skārda uzstādīšana atkritumu vadu izvadiem, b=0.5 mm PE pārklājujms, hermetizācija, palīgmateriāli, stiprinājumi</t>
  </si>
  <si>
    <t>Ventilācijas izvadu skārda apšuvuma izbūve bēniņu telpā, b=0.5 mm PE pārklājujms, hermetizācija, palīgmateriāli, stiprinājumi</t>
  </si>
  <si>
    <t>Jumta lūkas JL 1 nomaiņa, AR-13, stiprināšana hermetizācija</t>
  </si>
  <si>
    <t>Jumta lūkas BL 1 nomaiņa, AR-6; AR-8, stiprināšana hermetizācija, piemūrējot 2 rindas ķieģeļu pa perimetru</t>
  </si>
  <si>
    <t>Ķieģeļi, stiegrojums, mūrjava, palīgmateriāli</t>
  </si>
  <si>
    <t>Esošās kāpnes uz bēniņiem - attīrīt no korozijas un apstrādāt ar pretkorozijas līdzekļiem; - krāsot, nepieciešamības gadījumā atjaunot metinājuma vietas, stiprināšana pie pārseguma; AR-8</t>
  </si>
  <si>
    <t>Kāpņu telpas griesti</t>
  </si>
  <si>
    <t xml:space="preserve">Fasādes cietā minerālvate (Paroc linio 10 vai analogs) 200mm, λ ≤0,036 W/mK </t>
  </si>
  <si>
    <t>Griestu armēšanu ar sietu līmjavā</t>
  </si>
  <si>
    <t xml:space="preserve">Dekoratīvais apmetums, gruntēšana </t>
  </si>
  <si>
    <t>Kāpņu telpas griestu pārseguma P-2 attīrīšana, siltināšana; λ ≤0,036 W/mK; 200mm vate, λ ≤0,036 W/mK; AR-7; AR-2; AR-3</t>
  </si>
  <si>
    <t>Bojāto ventkanālu vietu atjaunošana ar bezrukuma remontsastāvu; AR-2; AR-3</t>
  </si>
  <si>
    <t>Zibensaizsardzības sistēmas atjaunošana pēc izbūves darbiem</t>
  </si>
  <si>
    <t>Sastādīja: R. Lipšāns</t>
  </si>
  <si>
    <t>Daugavpils, Bauskas iela 5</t>
  </si>
  <si>
    <t>Jumta lūka ar gāzes amortizātoriem 800x800 mm, U≤2.0 W(m²k), EI30, stiprinājumi, palīgmateriāli</t>
  </si>
  <si>
    <t>Paroc WAS 35t, λ=0,033 W/mK; d=30 mm</t>
  </si>
  <si>
    <t>Paroc Extra, λ=0,036 W/mK; d=250 mm</t>
  </si>
  <si>
    <t>Bituma grunts- Technonicol Nr.1</t>
  </si>
  <si>
    <t>Jumta sagatavošana, seguma izveidošana t.sk. parapeti un savienojošie elementi, locījumu un parapetu vietās veidot papildus Tecnoelast EKP kārtu</t>
  </si>
  <si>
    <t>Sārda lāsenis, cinkots, stiprināts pie paneļa malas, stiprinājumi, palīgmateriāli; AR-20</t>
  </si>
  <si>
    <t>t.sk. darba aizsardzība</t>
  </si>
  <si>
    <t xml:space="preserve">Sastādīja: R. Lipšāns </t>
  </si>
  <si>
    <t>Izmaksu aprēķins sastādīts pamatojoties uz Noteikumi par Latvijas būvnormatīvu LBN 501-17 "Būvizmaksu noteikšanas kārtība", tehnisko projektu, tajā iekļautajām specifikācijām un dažādās sadaļās iekļautos būvdarbu izpildes visus apstākļu raksturojumu. Saskaņā ar Noteikumi par Latvijas būvnormatīvu LBN 501-17 "Būvizmaksu noteikšanas kārtība" noteikto kārtību noteikta kopējā darbietilpība.Lokālajās tāmēs ievērtētas būvmateriālu, darbaspēka un mehānismu izmaksas valstī  2018.gada sākumā, vadoties pēc Latvijas Ekonomikas ministrijas publicētajiem datiem. Kā izziņas materiāls atsevišķu darbu darbietilpības un mehānismu patēriņa izmaksu noteikšanai pielietots pēc Latvijas republikas Ekonomikas ministrijas pasūtījuma SIA “MV project” izdotais Būvdarbu izcenojumu katalogs 2011. gadam.  Būvobjekta izmaksas aprēķinātas tā, lai garantētu visu būvdarbu kvalitatīvu izpildi tehniskajā projektā paredzētajos apjomos un ar tehniskajā projektā norādītajiem būvmateriāliem uz tehniskā projekta izstrādes brīdi. Gadījumā, ja jebkādu no projektētāja neatkarīgu iemeslu dēļ pasūtītājs nevar nodrošināt attiecīgo būvobjekta daļu kvalitatīvai izbūvei nepieciešamo finansējumu, pieļaujams analogas kvalitātes lētāku būvmateriālu pielietojums, to iepriekš saskaņojot ar tehniskā projekta autoru būvniecības autoruzraudzības kārtībā.</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</si>
</sst>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  &quot;#,##0\ ;&quot;  (&quot;#,##0\);&quot;  - &quot;;@\ "/>
    <numFmt numFmtId="173" formatCode="&quot; $ &quot;#,##0\ ;&quot; $ (&quot;#,##0\);&quot; $ - &quot;;@\ "/>
    <numFmt numFmtId="174" formatCode="#,##0.00&quot;   &quot;;\-#,##0.00&quot;   &quot;;@"/>
    <numFmt numFmtId="175" formatCode="#,##0_);\(#,##0\)"/>
    <numFmt numFmtId="176" formatCode="#,##0.00_);\(#,##0.00\)"/>
    <numFmt numFmtId="177" formatCode="#,##0.00\ ;\-#,##0.00\ ;&quot; -&quot;#\ ;@\ "/>
    <numFmt numFmtId="178" formatCode="_-* #,##0.00_-;\-* #,##0.00_-;_-* \-??_-;_-@_-"/>
    <numFmt numFmtId="179" formatCode="[$-426]dddd\,\ yyyy&quot;. gada &quot;d\.\ mmmm"/>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 numFmtId="185" formatCode="_-* #,##0.00_-;\-* #,##0.00_-;_-* &quot;-&quot;_-;_-@_-"/>
    <numFmt numFmtId="186" formatCode="[$-426]dddd\,\ yyyy\.\ &quot;gada&quot;\ d\.\ mmmm"/>
    <numFmt numFmtId="187" formatCode="_-&quot;€&quot;\ * #,##0_-;\-&quot;€&quot;\ * #,##0_-;_-&quot;€&quot;\ * &quot;-&quot;_-;_-@_-"/>
    <numFmt numFmtId="188" formatCode="_-&quot;€&quot;\ * #,##0.00_-;\-&quot;€&quot;\ * #,##0.00_-;_-&quot;€&quot;\ * &quot;-&quot;??_-;_-@_-"/>
    <numFmt numFmtId="189" formatCode="_-* #,##0.00\ _L_s_-;\-* #,##0.00\ _L_s_-;_-* \-??\ _L_s_-;_-@_-"/>
    <numFmt numFmtId="190" formatCode="\$#,##0.00_);[Red]&quot;($&quot;#,##0.00\)"/>
    <numFmt numFmtId="191" formatCode="#,##0.00;[Red]#,##0.00"/>
  </numFmts>
  <fonts count="77">
    <font>
      <sz val="10"/>
      <color indexed="8"/>
      <name val="Arial"/>
      <family val="2"/>
    </font>
    <font>
      <sz val="10"/>
      <name val="Arial"/>
      <family val="0"/>
    </font>
    <font>
      <sz val="7"/>
      <color indexed="8"/>
      <name val="Arial"/>
      <family val="2"/>
    </font>
    <font>
      <b/>
      <sz val="7"/>
      <color indexed="8"/>
      <name val="Arial"/>
      <family val="2"/>
    </font>
    <font>
      <sz val="9"/>
      <color indexed="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2"/>
      <color indexed="8"/>
      <name val="Tahoma"/>
      <family val="2"/>
    </font>
    <font>
      <sz val="12"/>
      <color indexed="9"/>
      <name val="Tahoma"/>
      <family val="2"/>
    </font>
    <font>
      <sz val="12"/>
      <color indexed="20"/>
      <name val="Tahoma"/>
      <family val="2"/>
    </font>
    <font>
      <b/>
      <sz val="12"/>
      <color indexed="52"/>
      <name val="Tahoma"/>
      <family val="2"/>
    </font>
    <font>
      <b/>
      <sz val="12"/>
      <color indexed="9"/>
      <name val="Tahoma"/>
      <family val="2"/>
    </font>
    <font>
      <i/>
      <sz val="12"/>
      <color indexed="23"/>
      <name val="Tahoma"/>
      <family val="2"/>
    </font>
    <font>
      <sz val="12"/>
      <color indexed="17"/>
      <name val="Tahoma"/>
      <family val="2"/>
    </font>
    <font>
      <b/>
      <sz val="15"/>
      <color indexed="56"/>
      <name val="Calibri"/>
      <family val="2"/>
    </font>
    <font>
      <b/>
      <sz val="15"/>
      <color indexed="56"/>
      <name val="Tahoma"/>
      <family val="2"/>
    </font>
    <font>
      <b/>
      <sz val="13"/>
      <color indexed="56"/>
      <name val="Calibri"/>
      <family val="2"/>
    </font>
    <font>
      <b/>
      <sz val="13"/>
      <color indexed="56"/>
      <name val="Tahoma"/>
      <family val="2"/>
    </font>
    <font>
      <b/>
      <sz val="11"/>
      <color indexed="56"/>
      <name val="Calibri"/>
      <family val="2"/>
    </font>
    <font>
      <b/>
      <sz val="11"/>
      <color indexed="56"/>
      <name val="Tahoma"/>
      <family val="2"/>
    </font>
    <font>
      <sz val="12"/>
      <color indexed="62"/>
      <name val="Tahoma"/>
      <family val="2"/>
    </font>
    <font>
      <sz val="12"/>
      <color indexed="52"/>
      <name val="Tahoma"/>
      <family val="2"/>
    </font>
    <font>
      <sz val="12"/>
      <color indexed="60"/>
      <name val="Tahoma"/>
      <family val="2"/>
    </font>
    <font>
      <sz val="11"/>
      <name val="Times New Roman"/>
      <family val="1"/>
    </font>
    <font>
      <sz val="10"/>
      <name val="BaltOptima"/>
      <family val="0"/>
    </font>
    <font>
      <b/>
      <sz val="18"/>
      <color indexed="56"/>
      <name val="Cambria"/>
      <family val="1"/>
    </font>
    <font>
      <b/>
      <sz val="12"/>
      <color indexed="63"/>
      <name val="Tahoma"/>
      <family val="2"/>
    </font>
    <font>
      <b/>
      <sz val="12"/>
      <color indexed="8"/>
      <name val="Tahoma"/>
      <family val="2"/>
    </font>
    <font>
      <b/>
      <sz val="15"/>
      <color indexed="54"/>
      <name val="Calibri"/>
      <family val="2"/>
    </font>
    <font>
      <b/>
      <sz val="13"/>
      <color indexed="54"/>
      <name val="Calibri"/>
      <family val="2"/>
    </font>
    <font>
      <b/>
      <sz val="11"/>
      <color indexed="54"/>
      <name val="Calibri"/>
      <family val="2"/>
    </font>
    <font>
      <sz val="12"/>
      <color indexed="10"/>
      <name val="Tahoma"/>
      <family val="2"/>
    </font>
    <font>
      <sz val="7"/>
      <name val="Arial"/>
      <family val="2"/>
    </font>
    <font>
      <sz val="10"/>
      <name val="Helv"/>
      <family val="0"/>
    </font>
    <font>
      <b/>
      <u val="single"/>
      <sz val="9"/>
      <name val="Arial"/>
      <family val="2"/>
    </font>
    <font>
      <sz val="9"/>
      <color indexed="8"/>
      <name val="Times New Roman"/>
      <family val="1"/>
    </font>
    <font>
      <sz val="9"/>
      <name val="Times New Roman"/>
      <family val="1"/>
    </font>
    <font>
      <vertAlign val="superscript"/>
      <sz val="7"/>
      <color indexed="8"/>
      <name val="Arial"/>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8"/>
      <name val="Arial"/>
      <family val="2"/>
    </font>
    <font>
      <i/>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theme="1"/>
      <name val="Arial"/>
      <family val="2"/>
    </font>
    <font>
      <b/>
      <sz val="18"/>
      <color theme="3"/>
      <name val="Cambria"/>
      <family val="2"/>
    </font>
    <font>
      <b/>
      <sz val="11"/>
      <color theme="1"/>
      <name val="Calibri"/>
      <family val="2"/>
    </font>
    <font>
      <sz val="11"/>
      <color rgb="FFFF0000"/>
      <name val="Calibri"/>
      <family val="2"/>
    </font>
    <font>
      <sz val="7"/>
      <color theme="1"/>
      <name val="Arial"/>
      <family val="2"/>
    </font>
    <font>
      <b/>
      <sz val="7"/>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s>
  <cellStyleXfs count="2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14" fillId="3" borderId="0" applyNumberFormat="0" applyBorder="0" applyAlignment="0" applyProtection="0"/>
    <xf numFmtId="0" fontId="7" fillId="3" borderId="0" applyNumberFormat="0" applyBorder="0" applyAlignment="0" applyProtection="0"/>
    <xf numFmtId="0" fontId="57" fillId="4" borderId="0" applyNumberFormat="0" applyBorder="0" applyAlignment="0" applyProtection="0"/>
    <xf numFmtId="0" fontId="14" fillId="5" borderId="0" applyNumberFormat="0" applyBorder="0" applyAlignment="0" applyProtection="0"/>
    <xf numFmtId="0" fontId="7" fillId="5" borderId="0" applyNumberFormat="0" applyBorder="0" applyAlignment="0" applyProtection="0"/>
    <xf numFmtId="0" fontId="57" fillId="6" borderId="0" applyNumberFormat="0" applyBorder="0" applyAlignment="0" applyProtection="0"/>
    <xf numFmtId="0" fontId="14" fillId="7" borderId="0" applyNumberFormat="0" applyBorder="0" applyAlignment="0" applyProtection="0"/>
    <xf numFmtId="0" fontId="7" fillId="7" borderId="0" applyNumberFormat="0" applyBorder="0" applyAlignment="0" applyProtection="0"/>
    <xf numFmtId="0" fontId="57" fillId="8" borderId="0" applyNumberFormat="0" applyBorder="0" applyAlignment="0" applyProtection="0"/>
    <xf numFmtId="0" fontId="14" fillId="9" borderId="0" applyNumberFormat="0" applyBorder="0" applyAlignment="0" applyProtection="0"/>
    <xf numFmtId="0" fontId="7" fillId="9" borderId="0" applyNumberFormat="0" applyBorder="0" applyAlignment="0" applyProtection="0"/>
    <xf numFmtId="0" fontId="57" fillId="10" borderId="0" applyNumberFormat="0" applyBorder="0" applyAlignment="0" applyProtection="0"/>
    <xf numFmtId="0" fontId="14" fillId="11" borderId="0" applyNumberFormat="0" applyBorder="0" applyAlignment="0" applyProtection="0"/>
    <xf numFmtId="0" fontId="7" fillId="11" borderId="0" applyNumberFormat="0" applyBorder="0" applyAlignment="0" applyProtection="0"/>
    <xf numFmtId="0" fontId="57" fillId="12" borderId="0" applyNumberFormat="0" applyBorder="0" applyAlignment="0" applyProtection="0"/>
    <xf numFmtId="0" fontId="14" fillId="13"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7" fillId="16" borderId="0" applyNumberFormat="0" applyBorder="0" applyAlignment="0" applyProtection="0"/>
    <xf numFmtId="0" fontId="14" fillId="17" borderId="0" applyNumberFormat="0" applyBorder="0" applyAlignment="0" applyProtection="0"/>
    <xf numFmtId="0" fontId="7" fillId="17" borderId="0" applyNumberFormat="0" applyBorder="0" applyAlignment="0" applyProtection="0"/>
    <xf numFmtId="0" fontId="57" fillId="18" borderId="0" applyNumberFormat="0" applyBorder="0" applyAlignment="0" applyProtection="0"/>
    <xf numFmtId="0" fontId="14" fillId="19" borderId="0" applyNumberFormat="0" applyBorder="0" applyAlignment="0" applyProtection="0"/>
    <xf numFmtId="0" fontId="7" fillId="19" borderId="0" applyNumberFormat="0" applyBorder="0" applyAlignment="0" applyProtection="0"/>
    <xf numFmtId="0" fontId="57" fillId="20" borderId="0" applyNumberFormat="0" applyBorder="0" applyAlignment="0" applyProtection="0"/>
    <xf numFmtId="0" fontId="14" fillId="21" borderId="0" applyNumberFormat="0" applyBorder="0" applyAlignment="0" applyProtection="0"/>
    <xf numFmtId="0" fontId="7" fillId="21" borderId="0" applyNumberFormat="0" applyBorder="0" applyAlignment="0" applyProtection="0"/>
    <xf numFmtId="0" fontId="57" fillId="22" borderId="0" applyNumberFormat="0" applyBorder="0" applyAlignment="0" applyProtection="0"/>
    <xf numFmtId="0" fontId="14" fillId="9" borderId="0" applyNumberFormat="0" applyBorder="0" applyAlignment="0" applyProtection="0"/>
    <xf numFmtId="0" fontId="7" fillId="9" borderId="0" applyNumberFormat="0" applyBorder="0" applyAlignment="0" applyProtection="0"/>
    <xf numFmtId="0" fontId="57" fillId="23" borderId="0" applyNumberFormat="0" applyBorder="0" applyAlignment="0" applyProtection="0"/>
    <xf numFmtId="0" fontId="14" fillId="17" borderId="0" applyNumberFormat="0" applyBorder="0" applyAlignment="0" applyProtection="0"/>
    <xf numFmtId="0" fontId="7" fillId="17" borderId="0" applyNumberFormat="0" applyBorder="0" applyAlignment="0" applyProtection="0"/>
    <xf numFmtId="0" fontId="57" fillId="24" borderId="0" applyNumberFormat="0" applyBorder="0" applyAlignment="0" applyProtection="0"/>
    <xf numFmtId="0" fontId="14" fillId="25"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8" fillId="28" borderId="0" applyNumberFormat="0" applyBorder="0" applyAlignment="0" applyProtection="0"/>
    <xf numFmtId="0" fontId="15" fillId="29" borderId="0" applyNumberFormat="0" applyBorder="0" applyAlignment="0" applyProtection="0"/>
    <xf numFmtId="0" fontId="8" fillId="29" borderId="0" applyNumberFormat="0" applyBorder="0" applyAlignment="0" applyProtection="0"/>
    <xf numFmtId="0" fontId="58" fillId="30" borderId="0" applyNumberFormat="0" applyBorder="0" applyAlignment="0" applyProtection="0"/>
    <xf numFmtId="0" fontId="15" fillId="19" borderId="0" applyNumberFormat="0" applyBorder="0" applyAlignment="0" applyProtection="0"/>
    <xf numFmtId="0" fontId="8" fillId="19" borderId="0" applyNumberFormat="0" applyBorder="0" applyAlignment="0" applyProtection="0"/>
    <xf numFmtId="0" fontId="58" fillId="31" borderId="0" applyNumberFormat="0" applyBorder="0" applyAlignment="0" applyProtection="0"/>
    <xf numFmtId="0" fontId="15" fillId="21" borderId="0" applyNumberFormat="0" applyBorder="0" applyAlignment="0" applyProtection="0"/>
    <xf numFmtId="0" fontId="8" fillId="21" borderId="0" applyNumberFormat="0" applyBorder="0" applyAlignment="0" applyProtection="0"/>
    <xf numFmtId="0" fontId="58" fillId="32" borderId="0" applyNumberFormat="0" applyBorder="0" applyAlignment="0" applyProtection="0"/>
    <xf numFmtId="0" fontId="15" fillId="33" borderId="0" applyNumberFormat="0" applyBorder="0" applyAlignment="0" applyProtection="0"/>
    <xf numFmtId="0" fontId="8" fillId="33" borderId="0" applyNumberFormat="0" applyBorder="0" applyAlignment="0" applyProtection="0"/>
    <xf numFmtId="0" fontId="58" fillId="34" borderId="0" applyNumberFormat="0" applyBorder="0" applyAlignment="0" applyProtection="0"/>
    <xf numFmtId="0" fontId="15" fillId="35" borderId="0" applyNumberFormat="0" applyBorder="0" applyAlignment="0" applyProtection="0"/>
    <xf numFmtId="0" fontId="8" fillId="35" borderId="0" applyNumberFormat="0" applyBorder="0" applyAlignment="0" applyProtection="0"/>
    <xf numFmtId="0" fontId="58" fillId="36" borderId="0" applyNumberFormat="0" applyBorder="0" applyAlignment="0" applyProtection="0"/>
    <xf numFmtId="0" fontId="15" fillId="37" borderId="0" applyNumberFormat="0" applyBorder="0" applyAlignment="0" applyProtection="0"/>
    <xf numFmtId="0" fontId="8" fillId="3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8" fillId="39" borderId="0" applyNumberFormat="0" applyBorder="0" applyAlignment="0" applyProtection="0"/>
    <xf numFmtId="0" fontId="15" fillId="40" borderId="0" applyNumberFormat="0" applyBorder="0" applyAlignment="0" applyProtection="0"/>
    <xf numFmtId="0" fontId="58" fillId="41" borderId="0" applyNumberFormat="0" applyBorder="0" applyAlignment="0" applyProtection="0"/>
    <xf numFmtId="0" fontId="15" fillId="42" borderId="0" applyNumberFormat="0" applyBorder="0" applyAlignment="0" applyProtection="0"/>
    <xf numFmtId="0" fontId="58" fillId="43" borderId="0" applyNumberFormat="0" applyBorder="0" applyAlignment="0" applyProtection="0"/>
    <xf numFmtId="0" fontId="15" fillId="38" borderId="0" applyNumberFormat="0" applyBorder="0" applyAlignment="0" applyProtection="0"/>
    <xf numFmtId="0" fontId="58" fillId="44" borderId="0" applyNumberFormat="0" applyBorder="0" applyAlignment="0" applyProtection="0"/>
    <xf numFmtId="0" fontId="15" fillId="33" borderId="0" applyNumberFormat="0" applyBorder="0" applyAlignment="0" applyProtection="0"/>
    <xf numFmtId="0" fontId="58" fillId="45" borderId="0" applyNumberFormat="0" applyBorder="0" applyAlignment="0" applyProtection="0"/>
    <xf numFmtId="0" fontId="15" fillId="35" borderId="0" applyNumberFormat="0" applyBorder="0" applyAlignment="0" applyProtection="0"/>
    <xf numFmtId="0" fontId="58" fillId="46" borderId="0" applyNumberFormat="0" applyBorder="0" applyAlignment="0" applyProtection="0"/>
    <xf numFmtId="0" fontId="15" fillId="47" borderId="0" applyNumberFormat="0" applyBorder="0" applyAlignment="0" applyProtection="0"/>
    <xf numFmtId="0" fontId="59" fillId="48" borderId="0" applyNumberFormat="0" applyBorder="0" applyAlignment="0" applyProtection="0"/>
    <xf numFmtId="0" fontId="16" fillId="5" borderId="0" applyNumberFormat="0" applyBorder="0" applyAlignment="0" applyProtection="0"/>
    <xf numFmtId="0" fontId="9" fillId="5" borderId="0" applyNumberFormat="0" applyBorder="0" applyAlignment="0" applyProtection="0"/>
    <xf numFmtId="0" fontId="60" fillId="49" borderId="1" applyNumberFormat="0" applyAlignment="0" applyProtection="0"/>
    <xf numFmtId="0" fontId="17" fillId="26" borderId="2" applyNumberFormat="0" applyAlignment="0" applyProtection="0"/>
    <xf numFmtId="0" fontId="61" fillId="50" borderId="3" applyNumberFormat="0" applyAlignment="0" applyProtection="0"/>
    <xf numFmtId="0" fontId="18" fillId="51" borderId="4" applyNumberFormat="0" applyAlignment="0" applyProtection="0"/>
    <xf numFmtId="0" fontId="10" fillId="51" borderId="4" applyNumberFormat="0" applyAlignment="0" applyProtection="0"/>
    <xf numFmtId="178" fontId="1" fillId="0" borderId="0" applyFill="0" applyBorder="0" applyProtection="0">
      <alignment vertical="center"/>
    </xf>
    <xf numFmtId="169" fontId="1" fillId="0" borderId="0" applyFill="0" applyBorder="0" applyAlignment="0" applyProtection="0"/>
    <xf numFmtId="189" fontId="7" fillId="0" borderId="0" applyFill="0" applyBorder="0" applyAlignment="0" applyProtection="0"/>
    <xf numFmtId="190" fontId="7" fillId="0" borderId="0" applyFill="0" applyBorder="0" applyAlignment="0" applyProtection="0"/>
    <xf numFmtId="172" fontId="0" fillId="0" borderId="0" applyFill="0" applyBorder="0" applyProtection="0">
      <alignment vertical="center"/>
    </xf>
    <xf numFmtId="170" fontId="1" fillId="0" borderId="0" applyFill="0" applyBorder="0" applyAlignment="0" applyProtection="0"/>
    <xf numFmtId="168" fontId="1" fillId="0" borderId="0" applyFill="0" applyBorder="0" applyAlignment="0" applyProtection="0"/>
    <xf numFmtId="173" fontId="0" fillId="0" borderId="0" applyFill="0" applyBorder="0" applyProtection="0">
      <alignment vertical="center"/>
    </xf>
    <xf numFmtId="0" fontId="7" fillId="0" borderId="0">
      <alignment/>
      <protection/>
    </xf>
    <xf numFmtId="0" fontId="62"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63" fillId="52" borderId="0" applyNumberFormat="0" applyBorder="0" applyAlignment="0" applyProtection="0"/>
    <xf numFmtId="0" fontId="20" fillId="7" borderId="0" applyNumberFormat="0" applyBorder="0" applyAlignment="0" applyProtection="0"/>
    <xf numFmtId="0" fontId="12" fillId="7" borderId="0" applyNumberFormat="0" applyBorder="0" applyAlignment="0" applyProtection="0"/>
    <xf numFmtId="0" fontId="64" fillId="0" borderId="5" applyNumberFormat="0" applyFill="0" applyAlignment="0" applyProtection="0"/>
    <xf numFmtId="0" fontId="22" fillId="0" borderId="6" applyNumberFormat="0" applyFill="0" applyAlignment="0" applyProtection="0"/>
    <xf numFmtId="0" fontId="21" fillId="0" borderId="6" applyNumberFormat="0" applyFill="0" applyAlignment="0" applyProtection="0"/>
    <xf numFmtId="0" fontId="65" fillId="0" borderId="7" applyNumberFormat="0" applyFill="0" applyAlignment="0" applyProtection="0"/>
    <xf numFmtId="0" fontId="24" fillId="0" borderId="8" applyNumberFormat="0" applyFill="0" applyAlignment="0" applyProtection="0"/>
    <xf numFmtId="0" fontId="23" fillId="0" borderId="8" applyNumberFormat="0" applyFill="0" applyAlignment="0" applyProtection="0"/>
    <xf numFmtId="0" fontId="66" fillId="0" borderId="9" applyNumberFormat="0" applyFill="0" applyAlignment="0" applyProtection="0"/>
    <xf numFmtId="0" fontId="26" fillId="0" borderId="10" applyNumberFormat="0" applyFill="0" applyAlignment="0" applyProtection="0"/>
    <xf numFmtId="0" fontId="25" fillId="0" borderId="10" applyNumberFormat="0" applyFill="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67" fillId="53" borderId="1" applyNumberFormat="0" applyAlignment="0" applyProtection="0"/>
    <xf numFmtId="0" fontId="27" fillId="13" borderId="2" applyNumberFormat="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68" fillId="0" borderId="11" applyNumberFormat="0" applyFill="0" applyAlignment="0" applyProtection="0"/>
    <xf numFmtId="0" fontId="28" fillId="0" borderId="12" applyNumberFormat="0" applyFill="0" applyAlignment="0" applyProtection="0"/>
    <xf numFmtId="0" fontId="13" fillId="0" borderId="12" applyNumberFormat="0" applyFill="0" applyAlignment="0" applyProtection="0"/>
    <xf numFmtId="0" fontId="69" fillId="54" borderId="0" applyNumberFormat="0" applyBorder="0" applyAlignment="0" applyProtection="0"/>
    <xf numFmtId="0" fontId="29" fillId="27"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vertical="center" wrapText="1"/>
      <protection/>
    </xf>
    <xf numFmtId="0" fontId="1" fillId="0" borderId="0">
      <alignment/>
      <protection/>
    </xf>
    <xf numFmtId="0" fontId="31" fillId="0" borderId="0">
      <alignment/>
      <protection/>
    </xf>
    <xf numFmtId="0" fontId="7" fillId="0" borderId="0">
      <alignment/>
      <protection/>
    </xf>
    <xf numFmtId="0" fontId="1" fillId="0" borderId="0">
      <alignment vertical="center" wrapText="1"/>
      <protection/>
    </xf>
    <xf numFmtId="0" fontId="1" fillId="0" borderId="0">
      <alignment/>
      <protection/>
    </xf>
    <xf numFmtId="0" fontId="40" fillId="0" borderId="0">
      <alignment/>
      <protection/>
    </xf>
    <xf numFmtId="0" fontId="0" fillId="55" borderId="13" applyNumberFormat="0" applyFont="0" applyAlignment="0" applyProtection="0"/>
    <xf numFmtId="0" fontId="7" fillId="15" borderId="14" applyNumberFormat="0" applyAlignment="0" applyProtection="0"/>
    <xf numFmtId="0" fontId="7" fillId="15" borderId="14" applyNumberFormat="0" applyAlignment="0" applyProtection="0"/>
    <xf numFmtId="0" fontId="70" fillId="49" borderId="15" applyNumberFormat="0" applyAlignment="0" applyProtection="0"/>
    <xf numFmtId="0" fontId="33" fillId="26" borderId="16" applyNumberFormat="0" applyAlignment="0" applyProtection="0"/>
    <xf numFmtId="0" fontId="71"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51" borderId="4" applyNumberFormat="0" applyAlignment="0" applyProtection="0"/>
    <xf numFmtId="0" fontId="10" fillId="51" borderId="4" applyNumberFormat="0" applyAlignment="0" applyProtection="0"/>
    <xf numFmtId="0" fontId="10" fillId="51" borderId="4" applyNumberFormat="0" applyAlignment="0" applyProtection="0"/>
    <xf numFmtId="9" fontId="1" fillId="0" borderId="0" applyFill="0" applyBorder="0" applyAlignment="0" applyProtection="0"/>
    <xf numFmtId="9" fontId="7" fillId="0" borderId="0" applyFill="0" applyBorder="0" applyAlignment="0" applyProtection="0"/>
    <xf numFmtId="0" fontId="7" fillId="15" borderId="14" applyNumberFormat="0" applyAlignment="0" applyProtection="0"/>
    <xf numFmtId="0" fontId="7" fillId="15" borderId="14" applyNumberFormat="0" applyAlignment="0" applyProtection="0"/>
    <xf numFmtId="0" fontId="7" fillId="15" borderId="14" applyNumberFormat="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0" borderId="0">
      <alignment/>
      <protection/>
    </xf>
    <xf numFmtId="0" fontId="1" fillId="0" borderId="0">
      <alignment/>
      <protection/>
    </xf>
    <xf numFmtId="0" fontId="72" fillId="0" borderId="0" applyNumberFormat="0" applyFill="0" applyBorder="0" applyAlignment="0" applyProtection="0"/>
    <xf numFmtId="0" fontId="32" fillId="0" borderId="0" applyNumberFormat="0" applyFill="0" applyBorder="0" applyAlignment="0" applyProtection="0"/>
    <xf numFmtId="0" fontId="7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20" applyNumberFormat="0" applyFill="0" applyAlignment="0" applyProtection="0"/>
    <xf numFmtId="0" fontId="36" fillId="0" borderId="20"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cellStyleXfs>
  <cellXfs count="203">
    <xf numFmtId="0" fontId="0" fillId="0" borderId="0" xfId="0" applyAlignment="1">
      <alignment vertical="center"/>
    </xf>
    <xf numFmtId="0" fontId="2" fillId="0" borderId="0" xfId="0" applyFont="1" applyAlignment="1">
      <alignment horizontal="center" wrapText="1"/>
    </xf>
    <xf numFmtId="0" fontId="2" fillId="0" borderId="0" xfId="0" applyFont="1" applyAlignment="1">
      <alignment horizontal="right"/>
    </xf>
    <xf numFmtId="4" fontId="2" fillId="0" borderId="0" xfId="0" applyNumberFormat="1" applyFont="1" applyAlignment="1">
      <alignment horizontal="right"/>
    </xf>
    <xf numFmtId="4" fontId="2" fillId="0" borderId="0" xfId="0" applyNumberFormat="1" applyFont="1" applyAlignment="1">
      <alignment wrapText="1"/>
    </xf>
    <xf numFmtId="4" fontId="2" fillId="51" borderId="0" xfId="0" applyNumberFormat="1" applyFont="1" applyFill="1" applyAlignment="1">
      <alignment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10" fontId="2" fillId="0" borderId="0" xfId="0" applyNumberFormat="1" applyFont="1" applyAlignment="1">
      <alignment horizontal="right" vertical="center" wrapText="1"/>
    </xf>
    <xf numFmtId="4" fontId="2" fillId="0" borderId="0" xfId="0" applyNumberFormat="1" applyFont="1" applyAlignment="1">
      <alignment horizontal="center" vertical="center" wrapText="1"/>
    </xf>
    <xf numFmtId="0" fontId="2" fillId="0" borderId="0" xfId="0" applyFont="1" applyAlignment="1">
      <alignment horizontal="right" vertical="center"/>
    </xf>
    <xf numFmtId="10" fontId="2" fillId="0" borderId="0" xfId="0" applyNumberFormat="1" applyFont="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4" fontId="0" fillId="0" borderId="23" xfId="0" applyNumberFormat="1" applyBorder="1" applyAlignment="1">
      <alignment horizontal="right" vertical="center"/>
    </xf>
    <xf numFmtId="2" fontId="1" fillId="0" borderId="0" xfId="244" applyNumberFormat="1" applyAlignment="1">
      <alignment horizontal="center" vertical="center"/>
      <protection/>
    </xf>
    <xf numFmtId="0" fontId="1" fillId="14" borderId="0" xfId="0" applyFont="1" applyFill="1" applyAlignment="1">
      <alignment vertical="center"/>
    </xf>
    <xf numFmtId="0" fontId="1" fillId="14" borderId="0" xfId="0" applyFont="1" applyFill="1" applyAlignment="1">
      <alignment horizontal="right" vertical="center"/>
    </xf>
    <xf numFmtId="0" fontId="1" fillId="14" borderId="0" xfId="0" applyFont="1" applyFill="1" applyAlignment="1">
      <alignment horizontal="center" vertical="center"/>
    </xf>
    <xf numFmtId="2" fontId="0" fillId="14" borderId="0" xfId="0" applyNumberFormat="1" applyFill="1" applyAlignment="1">
      <alignment horizontal="center" vertical="center"/>
    </xf>
    <xf numFmtId="2" fontId="1" fillId="14" borderId="0" xfId="0" applyNumberFormat="1" applyFont="1" applyFill="1" applyAlignment="1">
      <alignment horizontal="center" vertical="center"/>
    </xf>
    <xf numFmtId="2" fontId="1" fillId="14" borderId="0" xfId="0" applyNumberFormat="1" applyFont="1" applyFill="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0" fillId="14" borderId="0" xfId="0" applyFill="1" applyAlignment="1">
      <alignment horizontal="center" vertical="center"/>
    </xf>
    <xf numFmtId="1" fontId="1" fillId="14" borderId="0" xfId="0" applyNumberFormat="1" applyFont="1" applyFill="1" applyAlignment="1">
      <alignment horizontal="left" vertical="center"/>
    </xf>
    <xf numFmtId="4" fontId="0" fillId="0" borderId="0" xfId="0" applyNumberFormat="1" applyAlignment="1">
      <alignment wrapText="1"/>
    </xf>
    <xf numFmtId="0" fontId="0" fillId="0" borderId="0" xfId="0" applyAlignment="1">
      <alignment horizontal="right" vertical="center"/>
    </xf>
    <xf numFmtId="0" fontId="0" fillId="0" borderId="24" xfId="0" applyBorder="1" applyAlignment="1">
      <alignment horizontal="center" vertical="center"/>
    </xf>
    <xf numFmtId="0" fontId="75" fillId="0" borderId="23" xfId="0" applyFont="1" applyBorder="1" applyAlignment="1">
      <alignment horizontal="left" vertical="center" wrapText="1"/>
    </xf>
    <xf numFmtId="2" fontId="39" fillId="0" borderId="24" xfId="205" applyNumberFormat="1" applyFont="1" applyBorder="1" applyAlignment="1">
      <alignment horizontal="center" vertical="center" wrapText="1"/>
      <protection/>
    </xf>
    <xf numFmtId="0" fontId="2" fillId="0" borderId="24" xfId="0" applyFont="1" applyBorder="1" applyAlignment="1">
      <alignment horizontal="center" vertical="center" wrapText="1"/>
    </xf>
    <xf numFmtId="171" fontId="2" fillId="0" borderId="24" xfId="0" applyNumberFormat="1" applyFont="1" applyBorder="1" applyAlignment="1">
      <alignment horizontal="center" vertical="center" wrapText="1"/>
    </xf>
    <xf numFmtId="4" fontId="75" fillId="0" borderId="23" xfId="0" applyNumberFormat="1" applyFont="1" applyBorder="1" applyAlignment="1">
      <alignment horizontal="center" vertical="center" wrapText="1"/>
    </xf>
    <xf numFmtId="0" fontId="75" fillId="0" borderId="23" xfId="0" applyFont="1" applyBorder="1" applyAlignment="1">
      <alignment horizontal="right" vertical="center" wrapText="1"/>
    </xf>
    <xf numFmtId="0" fontId="75" fillId="0" borderId="23" xfId="0" applyFont="1" applyBorder="1" applyAlignment="1">
      <alignment horizontal="center" vertical="center"/>
    </xf>
    <xf numFmtId="4" fontId="2" fillId="0" borderId="23" xfId="0" applyNumberFormat="1" applyFont="1" applyBorder="1" applyAlignment="1">
      <alignment horizontal="center" vertical="center" wrapText="1"/>
    </xf>
    <xf numFmtId="43" fontId="2" fillId="0" borderId="23" xfId="0" applyNumberFormat="1" applyFont="1" applyBorder="1" applyAlignment="1">
      <alignment horizontal="center" vertical="center"/>
    </xf>
    <xf numFmtId="43" fontId="2" fillId="0" borderId="24" xfId="0" applyNumberFormat="1" applyFont="1" applyBorder="1" applyAlignment="1">
      <alignment horizontal="center" vertical="center"/>
    </xf>
    <xf numFmtId="0" fontId="76" fillId="0" borderId="23" xfId="0" applyFont="1" applyBorder="1" applyAlignment="1">
      <alignment horizontal="center" vertical="center" wrapText="1"/>
    </xf>
    <xf numFmtId="0" fontId="75"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horizontal="center" wrapText="1"/>
    </xf>
    <xf numFmtId="0" fontId="76" fillId="0" borderId="0" xfId="0" applyFont="1" applyAlignment="1">
      <alignment horizontal="center"/>
    </xf>
    <xf numFmtId="0" fontId="75" fillId="0" borderId="0" xfId="0" applyFont="1" applyAlignment="1">
      <alignment horizontal="center" wrapText="1"/>
    </xf>
    <xf numFmtId="0" fontId="75" fillId="0" borderId="0" xfId="0" applyFont="1" applyAlignment="1">
      <alignment horizontal="right"/>
    </xf>
    <xf numFmtId="0" fontId="75" fillId="0" borderId="0" xfId="0" applyFont="1" applyAlignment="1">
      <alignment wrapText="1"/>
    </xf>
    <xf numFmtId="4" fontId="75" fillId="0" borderId="0" xfId="0" applyNumberFormat="1" applyFont="1" applyAlignment="1">
      <alignment horizontal="right"/>
    </xf>
    <xf numFmtId="0" fontId="75" fillId="0" borderId="0" xfId="0" applyFont="1" applyAlignment="1">
      <alignment horizontal="center"/>
    </xf>
    <xf numFmtId="0" fontId="75" fillId="0" borderId="25" xfId="0" applyFont="1" applyBorder="1" applyAlignment="1">
      <alignment wrapText="1"/>
    </xf>
    <xf numFmtId="0" fontId="75" fillId="0" borderId="26" xfId="0" applyFont="1" applyBorder="1" applyAlignment="1">
      <alignment wrapText="1"/>
    </xf>
    <xf numFmtId="0" fontId="75" fillId="0" borderId="23" xfId="0" applyFont="1" applyBorder="1" applyAlignment="1">
      <alignment horizontal="center" vertical="center" wrapText="1"/>
    </xf>
    <xf numFmtId="176" fontId="75" fillId="0" borderId="23" xfId="0" applyNumberFormat="1" applyFont="1" applyBorder="1" applyAlignment="1">
      <alignment horizontal="center" vertical="center" wrapText="1"/>
    </xf>
    <xf numFmtId="0" fontId="75" fillId="0" borderId="26" xfId="0" applyFont="1" applyBorder="1" applyAlignment="1">
      <alignment horizontal="center" vertical="center" wrapText="1"/>
    </xf>
    <xf numFmtId="171" fontId="75" fillId="0" borderId="23" xfId="0" applyNumberFormat="1" applyFont="1" applyBorder="1" applyAlignment="1">
      <alignment horizontal="center" vertical="center" wrapText="1"/>
    </xf>
    <xf numFmtId="0" fontId="75" fillId="0" borderId="22" xfId="0" applyFont="1" applyBorder="1" applyAlignment="1">
      <alignment horizontal="center" vertical="center" wrapText="1"/>
    </xf>
    <xf numFmtId="0" fontId="75" fillId="0" borderId="24" xfId="0" applyFont="1" applyBorder="1" applyAlignment="1">
      <alignment horizontal="center" vertical="center" wrapText="1"/>
    </xf>
    <xf numFmtId="0" fontId="2" fillId="0" borderId="24" xfId="0" applyFont="1" applyBorder="1" applyAlignment="1">
      <alignment horizontal="right" vertical="center" wrapText="1"/>
    </xf>
    <xf numFmtId="2" fontId="2" fillId="0" borderId="24" xfId="0" applyNumberFormat="1" applyFont="1" applyBorder="1" applyAlignment="1">
      <alignment horizontal="center" vertical="center" wrapText="1"/>
    </xf>
    <xf numFmtId="0" fontId="75" fillId="0" borderId="27" xfId="0" applyFont="1" applyBorder="1" applyAlignment="1">
      <alignment horizontal="center" vertical="center" wrapText="1"/>
    </xf>
    <xf numFmtId="0" fontId="75" fillId="0" borderId="0" xfId="0" applyFont="1" applyAlignment="1">
      <alignment horizontal="center" vertical="center" wrapText="1"/>
    </xf>
    <xf numFmtId="0" fontId="2" fillId="0" borderId="28" xfId="0" applyFont="1" applyBorder="1" applyAlignment="1">
      <alignment horizontal="right" vertical="center" wrapText="1"/>
    </xf>
    <xf numFmtId="0" fontId="2" fillId="0" borderId="28" xfId="0" applyFont="1" applyBorder="1" applyAlignment="1">
      <alignment horizontal="center" vertical="center" wrapText="1"/>
    </xf>
    <xf numFmtId="2" fontId="2" fillId="0" borderId="28" xfId="0" applyNumberFormat="1" applyFont="1" applyBorder="1" applyAlignment="1">
      <alignment horizontal="center" vertical="center" wrapText="1"/>
    </xf>
    <xf numFmtId="0" fontId="75" fillId="0" borderId="29" xfId="0" applyFont="1" applyBorder="1" applyAlignment="1">
      <alignment horizontal="center" vertical="center" wrapText="1"/>
    </xf>
    <xf numFmtId="0" fontId="75" fillId="0" borderId="30" xfId="0" applyFont="1" applyBorder="1" applyAlignment="1">
      <alignment horizontal="center" vertical="center" wrapText="1"/>
    </xf>
    <xf numFmtId="4" fontId="75" fillId="0" borderId="27" xfId="0" applyNumberFormat="1" applyFont="1" applyBorder="1" applyAlignment="1">
      <alignment horizontal="center" vertical="center" wrapText="1"/>
    </xf>
    <xf numFmtId="0" fontId="75" fillId="0" borderId="31" xfId="0" applyFont="1" applyBorder="1" applyAlignment="1">
      <alignment horizontal="center" vertical="center" wrapText="1"/>
    </xf>
    <xf numFmtId="0" fontId="75" fillId="0" borderId="31" xfId="0" applyFont="1" applyBorder="1" applyAlignment="1">
      <alignment horizontal="left" vertical="top"/>
    </xf>
    <xf numFmtId="2" fontId="75" fillId="0" borderId="31" xfId="0" applyNumberFormat="1" applyFont="1" applyBorder="1" applyAlignment="1">
      <alignment horizontal="center" vertical="center" wrapText="1"/>
    </xf>
    <xf numFmtId="2" fontId="75" fillId="0" borderId="31" xfId="0" applyNumberFormat="1" applyFont="1" applyBorder="1" applyAlignment="1">
      <alignment horizontal="center" vertical="center"/>
    </xf>
    <xf numFmtId="0" fontId="75" fillId="0" borderId="0" xfId="0" applyFont="1" applyAlignment="1">
      <alignment horizontal="center" vertical="center" wrapText="1"/>
    </xf>
    <xf numFmtId="0" fontId="1" fillId="56" borderId="0" xfId="0" applyFont="1" applyFill="1" applyAlignment="1">
      <alignment vertical="center"/>
    </xf>
    <xf numFmtId="0" fontId="1" fillId="56" borderId="0" xfId="0" applyFont="1" applyFill="1" applyAlignment="1">
      <alignment horizontal="center" vertical="center"/>
    </xf>
    <xf numFmtId="43" fontId="75" fillId="0" borderId="23" xfId="0" applyNumberFormat="1" applyFont="1" applyBorder="1" applyAlignment="1">
      <alignment horizontal="center" vertical="center"/>
    </xf>
    <xf numFmtId="43" fontId="75" fillId="0" borderId="22" xfId="0" applyNumberFormat="1" applyFont="1" applyBorder="1" applyAlignment="1">
      <alignment horizontal="center" vertical="center"/>
    </xf>
    <xf numFmtId="43" fontId="75" fillId="0" borderId="23" xfId="0" applyNumberFormat="1" applyFont="1" applyBorder="1" applyAlignment="1">
      <alignment horizontal="center"/>
    </xf>
    <xf numFmtId="43" fontId="75" fillId="0" borderId="24" xfId="0" applyNumberFormat="1" applyFont="1" applyBorder="1" applyAlignment="1">
      <alignment horizontal="center" vertical="center"/>
    </xf>
    <xf numFmtId="43" fontId="75" fillId="0" borderId="27" xfId="0" applyNumberFormat="1" applyFont="1" applyBorder="1" applyAlignment="1">
      <alignment horizontal="center" vertical="center"/>
    </xf>
    <xf numFmtId="0" fontId="0" fillId="0" borderId="0" xfId="0" applyAlignment="1">
      <alignment horizontal="center" vertical="center"/>
    </xf>
    <xf numFmtId="0" fontId="0" fillId="14" borderId="0" xfId="0" applyFill="1" applyAlignment="1">
      <alignment horizontal="left" vertical="center"/>
    </xf>
    <xf numFmtId="0" fontId="1" fillId="0" borderId="0" xfId="0" applyFont="1" applyAlignment="1">
      <alignment vertical="center" wrapText="1"/>
    </xf>
    <xf numFmtId="0" fontId="0" fillId="0" borderId="29" xfId="0" applyBorder="1" applyAlignment="1">
      <alignment vertical="top" wrapText="1"/>
    </xf>
    <xf numFmtId="4" fontId="0" fillId="0" borderId="27" xfId="0" applyNumberFormat="1" applyBorder="1" applyAlignment="1">
      <alignment horizontal="right" vertical="center"/>
    </xf>
    <xf numFmtId="4" fontId="0" fillId="0" borderId="23" xfId="0" applyNumberFormat="1" applyBorder="1" applyAlignment="1">
      <alignment vertical="center"/>
    </xf>
    <xf numFmtId="0" fontId="4" fillId="56" borderId="0" xfId="0" applyFont="1" applyFill="1" applyAlignment="1">
      <alignment/>
    </xf>
    <xf numFmtId="10" fontId="5" fillId="56" borderId="0" xfId="182" applyNumberFormat="1" applyFont="1" applyFill="1" applyAlignment="1">
      <alignment horizontal="center" wrapText="1"/>
      <protection/>
    </xf>
    <xf numFmtId="0" fontId="5" fillId="56" borderId="0" xfId="182" applyFont="1" applyFill="1" applyAlignment="1">
      <alignment wrapText="1"/>
      <protection/>
    </xf>
    <xf numFmtId="0" fontId="42" fillId="56" borderId="0" xfId="0" applyFont="1" applyFill="1" applyAlignment="1">
      <alignment vertical="center"/>
    </xf>
    <xf numFmtId="0" fontId="42" fillId="56" borderId="0" xfId="151" applyFont="1" applyFill="1" applyAlignment="1">
      <alignment horizontal="left" vertical="center"/>
      <protection/>
    </xf>
    <xf numFmtId="0" fontId="43" fillId="56" borderId="0" xfId="0" applyFont="1" applyFill="1" applyAlignment="1">
      <alignment vertical="center"/>
    </xf>
    <xf numFmtId="0" fontId="43" fillId="56" borderId="0" xfId="0" applyFont="1" applyFill="1" applyAlignment="1">
      <alignment horizontal="center" vertical="center"/>
    </xf>
    <xf numFmtId="176" fontId="75" fillId="0" borderId="22" xfId="0" applyNumberFormat="1" applyFont="1" applyBorder="1" applyAlignment="1">
      <alignment horizontal="center" vertical="center" wrapText="1"/>
    </xf>
    <xf numFmtId="0" fontId="76" fillId="0" borderId="24" xfId="0" applyFont="1" applyBorder="1" applyAlignment="1">
      <alignment horizontal="center" vertical="center" wrapText="1"/>
    </xf>
    <xf numFmtId="4" fontId="75" fillId="0" borderId="24" xfId="0" applyNumberFormat="1" applyFont="1" applyBorder="1" applyAlignment="1">
      <alignment horizontal="center" vertical="center" wrapText="1"/>
    </xf>
    <xf numFmtId="176" fontId="75" fillId="0" borderId="24" xfId="0" applyNumberFormat="1" applyFont="1" applyBorder="1" applyAlignment="1">
      <alignment horizontal="center" vertical="center" wrapText="1"/>
    </xf>
    <xf numFmtId="0" fontId="2" fillId="0" borderId="24"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center" vertical="center" wrapText="1"/>
    </xf>
    <xf numFmtId="43" fontId="2" fillId="0" borderId="30"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left" vertical="center" wrapText="1"/>
    </xf>
    <xf numFmtId="0" fontId="2" fillId="0" borderId="32" xfId="0" applyFont="1" applyBorder="1" applyAlignment="1">
      <alignment horizontal="center" vertical="center" wrapText="1"/>
    </xf>
    <xf numFmtId="43" fontId="2" fillId="0" borderId="32" xfId="0" applyNumberFormat="1" applyFont="1" applyBorder="1" applyAlignment="1">
      <alignment horizontal="center" vertical="center"/>
    </xf>
    <xf numFmtId="0" fontId="76" fillId="0" borderId="27" xfId="0" applyFont="1" applyBorder="1" applyAlignment="1">
      <alignment horizontal="center" vertical="center" wrapText="1"/>
    </xf>
    <xf numFmtId="0" fontId="75" fillId="0" borderId="22" xfId="0" applyFont="1" applyBorder="1" applyAlignment="1">
      <alignment horizontal="left" vertical="center" wrapText="1"/>
    </xf>
    <xf numFmtId="0" fontId="75" fillId="0" borderId="27" xfId="0" applyFont="1" applyBorder="1" applyAlignment="1">
      <alignment horizontal="left" vertical="center" wrapText="1"/>
    </xf>
    <xf numFmtId="43" fontId="75" fillId="0" borderId="27" xfId="0" applyNumberFormat="1" applyFont="1" applyBorder="1" applyAlignment="1">
      <alignment horizontal="center"/>
    </xf>
    <xf numFmtId="0" fontId="75" fillId="0" borderId="33" xfId="0" applyFont="1" applyBorder="1" applyAlignment="1">
      <alignment horizontal="center" vertical="center" wrapText="1"/>
    </xf>
    <xf numFmtId="0" fontId="75" fillId="0" borderId="24" xfId="0" applyFont="1" applyBorder="1" applyAlignment="1">
      <alignment horizontal="left" vertical="center" wrapText="1"/>
    </xf>
    <xf numFmtId="43" fontId="2" fillId="0" borderId="24" xfId="0" applyNumberFormat="1" applyFont="1" applyBorder="1" applyAlignment="1">
      <alignment vertical="center"/>
    </xf>
    <xf numFmtId="0" fontId="75" fillId="0" borderId="27" xfId="0" applyFont="1" applyBorder="1" applyAlignment="1">
      <alignment horizontal="right" vertical="center" wrapText="1"/>
    </xf>
    <xf numFmtId="0" fontId="75" fillId="0" borderId="0" xfId="0" applyFont="1" applyAlignment="1">
      <alignment horizontal="center" vertical="center"/>
    </xf>
    <xf numFmtId="0" fontId="75" fillId="0" borderId="0" xfId="0" applyFont="1" applyAlignment="1">
      <alignment/>
    </xf>
    <xf numFmtId="0" fontId="2" fillId="0" borderId="24" xfId="0" applyFont="1" applyBorder="1" applyAlignment="1">
      <alignment horizontal="right" vertical="center"/>
    </xf>
    <xf numFmtId="2" fontId="39" fillId="0" borderId="0" xfId="244" applyNumberFormat="1" applyFont="1" applyAlignment="1">
      <alignment vertical="center"/>
      <protection/>
    </xf>
    <xf numFmtId="0" fontId="39" fillId="0" borderId="0" xfId="0" applyFont="1" applyAlignment="1">
      <alignment vertical="center"/>
    </xf>
    <xf numFmtId="0" fontId="2" fillId="0" borderId="0" xfId="0" applyFont="1" applyAlignment="1">
      <alignment/>
    </xf>
    <xf numFmtId="0" fontId="2" fillId="0" borderId="0" xfId="151" applyFont="1" applyAlignment="1">
      <alignment horizontal="left" vertical="center"/>
      <protection/>
    </xf>
    <xf numFmtId="0" fontId="75" fillId="0" borderId="0" xfId="0" applyFont="1" applyAlignment="1">
      <alignment/>
    </xf>
    <xf numFmtId="1" fontId="75" fillId="0" borderId="23" xfId="0" applyNumberFormat="1" applyFont="1" applyBorder="1" applyAlignment="1">
      <alignment horizontal="center" vertical="center" wrapText="1"/>
    </xf>
    <xf numFmtId="175" fontId="75" fillId="0" borderId="23" xfId="0" applyNumberFormat="1" applyFont="1" applyBorder="1" applyAlignment="1">
      <alignment horizontal="center" vertical="center" wrapText="1"/>
    </xf>
    <xf numFmtId="0" fontId="75" fillId="0" borderId="23" xfId="0" applyFont="1" applyBorder="1" applyAlignment="1">
      <alignment vertical="center" wrapText="1"/>
    </xf>
    <xf numFmtId="0" fontId="75" fillId="0" borderId="34" xfId="0" applyFont="1" applyBorder="1" applyAlignment="1">
      <alignment horizontal="right" vertical="center" wrapText="1"/>
    </xf>
    <xf numFmtId="2" fontId="75" fillId="0" borderId="23" xfId="0" applyNumberFormat="1" applyFont="1" applyBorder="1" applyAlignment="1">
      <alignment horizontal="center" vertical="center" wrapText="1"/>
    </xf>
    <xf numFmtId="171" fontId="75" fillId="0" borderId="23" xfId="0" applyNumberFormat="1" applyFont="1" applyBorder="1" applyAlignment="1">
      <alignment horizontal="center" vertical="center"/>
    </xf>
    <xf numFmtId="171" fontId="75" fillId="0" borderId="23" xfId="0" applyNumberFormat="1" applyFont="1" applyBorder="1" applyAlignment="1">
      <alignment vertical="center" wrapText="1"/>
    </xf>
    <xf numFmtId="43" fontId="2" fillId="0" borderId="28" xfId="0" applyNumberFormat="1" applyFont="1" applyBorder="1" applyAlignment="1">
      <alignment horizontal="center" vertical="center"/>
    </xf>
    <xf numFmtId="0" fontId="3" fillId="0" borderId="0" xfId="0" applyFont="1" applyAlignment="1">
      <alignment horizontal="left"/>
    </xf>
    <xf numFmtId="0" fontId="2" fillId="0" borderId="0" xfId="0" applyFont="1" applyAlignment="1">
      <alignment wrapText="1"/>
    </xf>
    <xf numFmtId="0" fontId="2" fillId="0" borderId="0" xfId="0" applyFont="1" applyAlignment="1">
      <alignment horizontal="left"/>
    </xf>
    <xf numFmtId="0" fontId="39" fillId="0" borderId="24" xfId="205" applyFont="1" applyBorder="1" applyAlignment="1">
      <alignment horizontal="center" vertical="center" wrapText="1"/>
      <protection/>
    </xf>
    <xf numFmtId="2" fontId="39" fillId="0" borderId="24" xfId="205" applyNumberFormat="1" applyFont="1" applyBorder="1" applyAlignment="1">
      <alignment horizontal="center" vertical="center" wrapText="1"/>
      <protection/>
    </xf>
    <xf numFmtId="2" fontId="2" fillId="0" borderId="35" xfId="0" applyNumberFormat="1" applyFont="1" applyBorder="1" applyAlignment="1">
      <alignment horizontal="right" vertical="center" wrapText="1"/>
    </xf>
    <xf numFmtId="2" fontId="2" fillId="0" borderId="36" xfId="0" applyNumberFormat="1" applyFont="1" applyBorder="1" applyAlignment="1">
      <alignment horizontal="right" vertical="center" wrapText="1"/>
    </xf>
    <xf numFmtId="2" fontId="2" fillId="0" borderId="37" xfId="0" applyNumberFormat="1" applyFont="1" applyBorder="1" applyAlignment="1">
      <alignment horizontal="right" vertical="center" wrapText="1"/>
    </xf>
    <xf numFmtId="0" fontId="39" fillId="0" borderId="28" xfId="205" applyFont="1" applyBorder="1" applyAlignment="1">
      <alignment horizontal="center" vertical="center"/>
      <protection/>
    </xf>
    <xf numFmtId="0" fontId="39" fillId="0" borderId="30" xfId="205" applyFont="1" applyBorder="1" applyAlignment="1">
      <alignment horizontal="center" vertical="center"/>
      <protection/>
    </xf>
    <xf numFmtId="0" fontId="75" fillId="0" borderId="0" xfId="0" applyFont="1" applyAlignment="1">
      <alignment horizontal="left"/>
    </xf>
    <xf numFmtId="4" fontId="75" fillId="0" borderId="0" xfId="0" applyNumberFormat="1" applyFont="1" applyAlignment="1">
      <alignment horizontal="left" wrapText="1"/>
    </xf>
    <xf numFmtId="2" fontId="39" fillId="0" borderId="24" xfId="205" applyNumberFormat="1" applyFont="1" applyBorder="1" applyAlignment="1">
      <alignment horizontal="center" vertical="center"/>
      <protection/>
    </xf>
    <xf numFmtId="0" fontId="75" fillId="0" borderId="0" xfId="0" applyFont="1" applyAlignment="1">
      <alignment horizontal="center"/>
    </xf>
    <xf numFmtId="0" fontId="76" fillId="0" borderId="0" xfId="0" applyFont="1" applyAlignment="1">
      <alignment horizontal="left"/>
    </xf>
    <xf numFmtId="0" fontId="0" fillId="0" borderId="0" xfId="0" applyAlignment="1">
      <alignment horizontal="center" vertical="center"/>
    </xf>
    <xf numFmtId="0" fontId="0" fillId="0" borderId="29" xfId="0" applyBorder="1" applyAlignment="1">
      <alignment horizontal="right" vertical="center"/>
    </xf>
    <xf numFmtId="0" fontId="0" fillId="0" borderId="29" xfId="0" applyBorder="1" applyAlignment="1">
      <alignment horizontal="center" vertical="center"/>
    </xf>
    <xf numFmtId="10" fontId="0" fillId="0" borderId="29" xfId="0" applyNumberFormat="1" applyBorder="1" applyAlignment="1">
      <alignment horizontal="right" vertical="center"/>
    </xf>
    <xf numFmtId="0" fontId="41" fillId="56" borderId="0" xfId="182" applyFont="1" applyFill="1" applyAlignment="1">
      <alignment horizontal="center" vertical="center"/>
      <protection/>
    </xf>
    <xf numFmtId="0" fontId="6" fillId="56" borderId="0" xfId="182" applyFont="1" applyFill="1" applyAlignment="1">
      <alignment horizontal="center" vertical="center" wrapText="1"/>
      <protection/>
    </xf>
    <xf numFmtId="0" fontId="6" fillId="56" borderId="36" xfId="198" applyFont="1" applyFill="1" applyBorder="1" applyAlignment="1">
      <alignment horizontal="left" vertical="center" wrapText="1"/>
      <protection/>
    </xf>
    <xf numFmtId="0" fontId="6" fillId="0" borderId="36" xfId="182" applyFont="1" applyBorder="1" applyAlignment="1">
      <alignment horizontal="center" vertical="center" wrapText="1"/>
      <protection/>
    </xf>
    <xf numFmtId="4" fontId="6" fillId="56" borderId="36" xfId="198" applyNumberFormat="1" applyFont="1" applyFill="1" applyBorder="1" applyAlignment="1">
      <alignment horizontal="center" vertical="center" wrapText="1"/>
      <protection/>
    </xf>
    <xf numFmtId="0" fontId="6" fillId="56" borderId="36" xfId="198" applyFont="1" applyFill="1" applyBorder="1" applyAlignment="1">
      <alignment horizontal="center" vertical="center" wrapText="1"/>
      <protection/>
    </xf>
    <xf numFmtId="0" fontId="5" fillId="56" borderId="38" xfId="199" applyFont="1" applyFill="1" applyBorder="1" applyAlignment="1">
      <alignment horizontal="left" vertical="center" wrapText="1"/>
      <protection/>
    </xf>
    <xf numFmtId="0" fontId="6" fillId="56" borderId="0" xfId="199" applyFont="1" applyFill="1" applyAlignment="1">
      <alignment vertical="center" wrapText="1"/>
      <protection/>
    </xf>
    <xf numFmtId="0" fontId="5" fillId="56" borderId="0" xfId="182" applyFont="1" applyFill="1">
      <alignment/>
      <protection/>
    </xf>
    <xf numFmtId="191" fontId="5" fillId="56" borderId="0" xfId="182" applyNumberFormat="1" applyFont="1" applyFill="1" applyAlignment="1">
      <alignment horizontal="center"/>
      <protection/>
    </xf>
    <xf numFmtId="0" fontId="5" fillId="56" borderId="0" xfId="182" applyFont="1" applyFill="1" applyAlignment="1">
      <alignment wrapText="1"/>
      <protection/>
    </xf>
    <xf numFmtId="0" fontId="5" fillId="56" borderId="0" xfId="182" applyFont="1" applyFill="1" applyAlignment="1">
      <alignment horizontal="left" wrapText="1"/>
      <protection/>
    </xf>
    <xf numFmtId="0" fontId="5" fillId="56" borderId="0" xfId="182" applyFont="1" applyFill="1" applyAlignment="1">
      <alignment horizontal="left" vertical="center" wrapText="1"/>
      <protection/>
    </xf>
    <xf numFmtId="0" fontId="5" fillId="56" borderId="0" xfId="182" applyFont="1" applyFill="1" applyAlignment="1">
      <alignment horizontal="left" vertical="center"/>
      <protection/>
    </xf>
    <xf numFmtId="0" fontId="4" fillId="56" borderId="0" xfId="0" applyFont="1" applyFill="1" applyAlignment="1">
      <alignment horizontal="left" wrapText="1"/>
    </xf>
    <xf numFmtId="0" fontId="4" fillId="0" borderId="24" xfId="0" applyFont="1" applyBorder="1" applyAlignment="1">
      <alignment vertical="center"/>
    </xf>
    <xf numFmtId="9" fontId="55" fillId="0" borderId="24" xfId="0" applyNumberFormat="1" applyFont="1" applyBorder="1" applyAlignment="1">
      <alignment vertical="center"/>
    </xf>
    <xf numFmtId="4" fontId="4" fillId="0" borderId="24" xfId="0" applyNumberFormat="1" applyFont="1" applyBorder="1" applyAlignment="1">
      <alignment vertical="center"/>
    </xf>
    <xf numFmtId="9" fontId="56" fillId="0" borderId="24" xfId="0" applyNumberFormat="1" applyFont="1" applyBorder="1" applyAlignment="1">
      <alignment vertical="center"/>
    </xf>
    <xf numFmtId="0" fontId="56" fillId="0" borderId="24" xfId="0" applyFont="1" applyBorder="1" applyAlignment="1">
      <alignment vertical="center"/>
    </xf>
    <xf numFmtId="4" fontId="56" fillId="0" borderId="24" xfId="0" applyNumberFormat="1" applyFont="1" applyBorder="1" applyAlignment="1">
      <alignment vertical="center"/>
    </xf>
    <xf numFmtId="10" fontId="55" fillId="0" borderId="24" xfId="0" applyNumberFormat="1" applyFont="1" applyBorder="1" applyAlignment="1">
      <alignment vertical="center"/>
    </xf>
    <xf numFmtId="0" fontId="55" fillId="0" borderId="24" xfId="0" applyFont="1" applyBorder="1" applyAlignment="1">
      <alignment vertical="center" wrapText="1"/>
    </xf>
    <xf numFmtId="4" fontId="55" fillId="0" borderId="24" xfId="0" applyNumberFormat="1" applyFont="1" applyBorder="1" applyAlignment="1">
      <alignment vertical="center"/>
    </xf>
    <xf numFmtId="0" fontId="4" fillId="0" borderId="0" xfId="0" applyFont="1" applyAlignment="1">
      <alignment vertical="center"/>
    </xf>
    <xf numFmtId="2" fontId="5" fillId="0" borderId="0" xfId="244" applyNumberFormat="1" applyFont="1" applyAlignment="1">
      <alignment horizontal="center" vertical="center"/>
      <protection/>
    </xf>
    <xf numFmtId="0" fontId="5" fillId="0" borderId="0" xfId="0" applyFont="1" applyAlignment="1">
      <alignment vertical="center"/>
    </xf>
    <xf numFmtId="0" fontId="5" fillId="56" borderId="0" xfId="0" applyFont="1" applyFill="1" applyAlignment="1">
      <alignment vertical="center"/>
    </xf>
    <xf numFmtId="0" fontId="4" fillId="56" borderId="0" xfId="151" applyFont="1" applyFill="1" applyAlignment="1">
      <alignment horizontal="left" vertical="center"/>
      <protection/>
    </xf>
    <xf numFmtId="0" fontId="55" fillId="0" borderId="24" xfId="0" applyFont="1" applyBorder="1" applyAlignment="1">
      <alignment horizontal="righ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2" fontId="5" fillId="0" borderId="0" xfId="0" applyNumberFormat="1" applyFont="1" applyAlignment="1">
      <alignment vertical="center"/>
    </xf>
    <xf numFmtId="0" fontId="4" fillId="0" borderId="0" xfId="0" applyFont="1" applyAlignment="1">
      <alignment horizontal="left" vertical="center"/>
    </xf>
    <xf numFmtId="4" fontId="4" fillId="0" borderId="0" xfId="0" applyNumberFormat="1" applyFont="1" applyAlignment="1">
      <alignment horizontal="left" wrapText="1"/>
    </xf>
    <xf numFmtId="1" fontId="5" fillId="0" borderId="0" xfId="0" applyNumberFormat="1" applyFont="1" applyAlignment="1">
      <alignment horizontal="left" vertical="center"/>
    </xf>
    <xf numFmtId="0" fontId="4" fillId="0" borderId="0" xfId="151" applyFont="1" applyAlignment="1">
      <alignment vertical="center"/>
      <protection/>
    </xf>
    <xf numFmtId="0" fontId="4" fillId="0" borderId="0" xfId="151" applyFont="1" applyAlignment="1">
      <alignment horizontal="center" vertical="center"/>
      <protection/>
    </xf>
    <xf numFmtId="0" fontId="4" fillId="0" borderId="0" xfId="151" applyFont="1" applyAlignment="1">
      <alignment horizontal="right" vertical="center"/>
      <protection/>
    </xf>
    <xf numFmtId="4" fontId="4" fillId="0" borderId="25" xfId="151" applyNumberFormat="1" applyFont="1" applyBorder="1" applyAlignment="1">
      <alignment horizontal="right" vertical="center"/>
      <protection/>
    </xf>
    <xf numFmtId="2" fontId="4" fillId="0" borderId="0" xfId="151" applyNumberFormat="1" applyFont="1" applyAlignment="1">
      <alignment horizontal="center" vertical="center"/>
      <protection/>
    </xf>
    <xf numFmtId="2" fontId="4" fillId="0" borderId="0" xfId="151" applyNumberFormat="1" applyFont="1" applyAlignment="1">
      <alignment vertical="center"/>
      <protection/>
    </xf>
    <xf numFmtId="1" fontId="4" fillId="0" borderId="0" xfId="151" applyNumberFormat="1" applyFont="1" applyAlignment="1">
      <alignment horizontal="left" vertical="center"/>
      <protection/>
    </xf>
    <xf numFmtId="4" fontId="4" fillId="0" borderId="39" xfId="151" applyNumberFormat="1" applyFont="1" applyBorder="1" applyAlignment="1">
      <alignment horizontal="right" vertical="center"/>
      <protection/>
    </xf>
    <xf numFmtId="0" fontId="4" fillId="0" borderId="0" xfId="0" applyFont="1" applyAlignment="1">
      <alignment horizontal="left"/>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43" fontId="4" fillId="0" borderId="24" xfId="0" applyNumberFormat="1" applyFont="1" applyBorder="1" applyAlignment="1">
      <alignment vertical="center"/>
    </xf>
    <xf numFmtId="2" fontId="5" fillId="0" borderId="0" xfId="0" applyNumberFormat="1" applyFont="1" applyAlignment="1">
      <alignment horizontal="left" vertical="center"/>
    </xf>
    <xf numFmtId="2" fontId="4" fillId="0" borderId="0" xfId="0" applyNumberFormat="1" applyFont="1" applyAlignment="1">
      <alignment horizontal="center" vertical="center"/>
    </xf>
    <xf numFmtId="0" fontId="0" fillId="56" borderId="0" xfId="151" applyFont="1" applyFill="1" applyAlignment="1">
      <alignment horizontal="center" vertical="center"/>
      <protection/>
    </xf>
    <xf numFmtId="0" fontId="0" fillId="56" borderId="0" xfId="0" applyFill="1" applyAlignment="1">
      <alignment/>
    </xf>
  </cellXfs>
  <cellStyles count="23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no 1. izcēluma" xfId="33"/>
    <cellStyle name="20% no 1. izcēluma 2" xfId="34"/>
    <cellStyle name="20% no 1. izcēluma 3" xfId="35"/>
    <cellStyle name="20% no 2. izcēluma" xfId="36"/>
    <cellStyle name="20% no 2. izcēluma 2" xfId="37"/>
    <cellStyle name="20% no 2. izcēluma 3" xfId="38"/>
    <cellStyle name="20% no 3. izcēluma" xfId="39"/>
    <cellStyle name="20% no 3. izcēluma 2" xfId="40"/>
    <cellStyle name="20% no 3. izcēluma 3" xfId="41"/>
    <cellStyle name="20% no 4. izcēluma" xfId="42"/>
    <cellStyle name="20% no 4. izcēluma 2" xfId="43"/>
    <cellStyle name="20% no 4. izcēluma 3" xfId="44"/>
    <cellStyle name="20% no 5. izcēluma" xfId="45"/>
    <cellStyle name="20% no 5. izcēluma 2" xfId="46"/>
    <cellStyle name="20% no 5. izcēluma 3" xfId="47"/>
    <cellStyle name="20% no 6. izcēluma" xfId="48"/>
    <cellStyle name="20% no 6. izcēluma 2" xfId="49"/>
    <cellStyle name="20% no 6. izcēluma 3" xfId="50"/>
    <cellStyle name="40% - Accent1" xfId="51"/>
    <cellStyle name="40% - Accent1 2" xfId="52"/>
    <cellStyle name="40% - Accent1 3" xfId="53"/>
    <cellStyle name="40% - Accent2" xfId="54"/>
    <cellStyle name="40% - Accent2 2" xfId="55"/>
    <cellStyle name="40% - Accent2 3" xfId="56"/>
    <cellStyle name="40% - Accent3" xfId="57"/>
    <cellStyle name="40% - Accent3 2" xfId="58"/>
    <cellStyle name="40% - Accent3 3" xfId="59"/>
    <cellStyle name="40% - Accent4" xfId="60"/>
    <cellStyle name="40% - Accent4 2" xfId="61"/>
    <cellStyle name="40% - Accent4 3" xfId="62"/>
    <cellStyle name="40% - Accent5" xfId="63"/>
    <cellStyle name="40% - Accent5 2" xfId="64"/>
    <cellStyle name="40% - Accent5 3" xfId="65"/>
    <cellStyle name="40% - Accent6" xfId="66"/>
    <cellStyle name="40% - Accent6 2" xfId="67"/>
    <cellStyle name="40% - Accent6 3" xfId="68"/>
    <cellStyle name="40% no 1. izcēluma" xfId="69"/>
    <cellStyle name="40% no 1. izcēluma 2" xfId="70"/>
    <cellStyle name="40% no 1. izcēluma 3" xfId="71"/>
    <cellStyle name="40% no 2. izcēluma" xfId="72"/>
    <cellStyle name="40% no 2. izcēluma 2" xfId="73"/>
    <cellStyle name="40% no 2. izcēluma 3" xfId="74"/>
    <cellStyle name="40% no 3. izcēluma" xfId="75"/>
    <cellStyle name="40% no 3. izcēluma 2" xfId="76"/>
    <cellStyle name="40% no 3. izcēluma 3" xfId="77"/>
    <cellStyle name="40% no 4. izcēluma" xfId="78"/>
    <cellStyle name="40% no 4. izcēluma 2" xfId="79"/>
    <cellStyle name="40% no 4. izcēluma 3" xfId="80"/>
    <cellStyle name="40% no 5. izcēluma" xfId="81"/>
    <cellStyle name="40% no 5. izcēluma 2" xfId="82"/>
    <cellStyle name="40% no 5. izcēluma 3" xfId="83"/>
    <cellStyle name="40% no 6. izcēluma" xfId="84"/>
    <cellStyle name="40% no 6. izcēluma 2" xfId="85"/>
    <cellStyle name="40% no 6. izcēluma 3" xfId="86"/>
    <cellStyle name="60% - Accent1" xfId="87"/>
    <cellStyle name="60% - Accent1 2" xfId="88"/>
    <cellStyle name="60% - Accent1 3" xfId="89"/>
    <cellStyle name="60% - Accent2" xfId="90"/>
    <cellStyle name="60% - Accent2 2" xfId="91"/>
    <cellStyle name="60% - Accent2 3" xfId="92"/>
    <cellStyle name="60% - Accent3" xfId="93"/>
    <cellStyle name="60% - Accent3 2" xfId="94"/>
    <cellStyle name="60% - Accent3 3" xfId="95"/>
    <cellStyle name="60% - Accent4" xfId="96"/>
    <cellStyle name="60% - Accent4 2" xfId="97"/>
    <cellStyle name="60% - Accent4 3" xfId="98"/>
    <cellStyle name="60% - Accent5" xfId="99"/>
    <cellStyle name="60% - Accent5 2" xfId="100"/>
    <cellStyle name="60% - Accent5 3" xfId="101"/>
    <cellStyle name="60% - Accent6" xfId="102"/>
    <cellStyle name="60% - Accent6 2" xfId="103"/>
    <cellStyle name="60% - Accent6 3" xfId="104"/>
    <cellStyle name="60% no 1. izcēluma" xfId="105"/>
    <cellStyle name="60% no 1. izcēluma 2" xfId="106"/>
    <cellStyle name="60% no 1. izcēluma 3" xfId="107"/>
    <cellStyle name="60% no 2. izcēluma" xfId="108"/>
    <cellStyle name="60% no 2. izcēluma 2" xfId="109"/>
    <cellStyle name="60% no 2. izcēluma 3" xfId="110"/>
    <cellStyle name="60% no 3. izcēluma" xfId="111"/>
    <cellStyle name="60% no 3. izcēluma 2" xfId="112"/>
    <cellStyle name="60% no 3. izcēluma 3" xfId="113"/>
    <cellStyle name="60% no 4. izcēluma" xfId="114"/>
    <cellStyle name="60% no 4. izcēluma 2" xfId="115"/>
    <cellStyle name="60% no 4. izcēluma 3" xfId="116"/>
    <cellStyle name="60% no 5. izcēluma" xfId="117"/>
    <cellStyle name="60% no 5. izcēluma 2" xfId="118"/>
    <cellStyle name="60% no 5. izcēluma 3" xfId="119"/>
    <cellStyle name="60% no 6. izcēluma" xfId="120"/>
    <cellStyle name="60% no 6. izcēluma 2" xfId="121"/>
    <cellStyle name="60% no 6. izcēluma 3"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Bad 3" xfId="137"/>
    <cellStyle name="Calculation" xfId="138"/>
    <cellStyle name="Calculation 2" xfId="139"/>
    <cellStyle name="Check Cell" xfId="140"/>
    <cellStyle name="Check Cell 2" xfId="141"/>
    <cellStyle name="Check Cell 3" xfId="142"/>
    <cellStyle name="Comma" xfId="143"/>
    <cellStyle name="Comma [0]" xfId="144"/>
    <cellStyle name="Comma 2" xfId="145"/>
    <cellStyle name="Comma 2 2" xfId="146"/>
    <cellStyle name="Comma[0]" xfId="147"/>
    <cellStyle name="Currency" xfId="148"/>
    <cellStyle name="Currency [0]" xfId="149"/>
    <cellStyle name="Currency[0]" xfId="150"/>
    <cellStyle name="Excel Built-in Normal" xfId="151"/>
    <cellStyle name="Explanatory Text" xfId="152"/>
    <cellStyle name="Explanatory Text 2" xfId="153"/>
    <cellStyle name="Explanatory Text 3" xfId="154"/>
    <cellStyle name="Good" xfId="155"/>
    <cellStyle name="Good 2" xfId="156"/>
    <cellStyle name="Good 3" xfId="157"/>
    <cellStyle name="Heading 1" xfId="158"/>
    <cellStyle name="Heading 1 2" xfId="159"/>
    <cellStyle name="Heading 1 3" xfId="160"/>
    <cellStyle name="Heading 2" xfId="161"/>
    <cellStyle name="Heading 2 2" xfId="162"/>
    <cellStyle name="Heading 2 3" xfId="163"/>
    <cellStyle name="Heading 3" xfId="164"/>
    <cellStyle name="Heading 3 2" xfId="165"/>
    <cellStyle name="Heading 3 3" xfId="166"/>
    <cellStyle name="Heading 4" xfId="167"/>
    <cellStyle name="Heading 4 2" xfId="168"/>
    <cellStyle name="Heading 4 3" xfId="169"/>
    <cellStyle name="Input" xfId="170"/>
    <cellStyle name="Input 2" xfId="171"/>
    <cellStyle name="Labs" xfId="172"/>
    <cellStyle name="Labs 2" xfId="173"/>
    <cellStyle name="Labs 3" xfId="174"/>
    <cellStyle name="Linked Cell" xfId="175"/>
    <cellStyle name="Linked Cell 2" xfId="176"/>
    <cellStyle name="Linked Cell 3" xfId="177"/>
    <cellStyle name="Neutral" xfId="178"/>
    <cellStyle name="Neutral 2" xfId="179"/>
    <cellStyle name="Normal 10" xfId="180"/>
    <cellStyle name="Normal 11" xfId="181"/>
    <cellStyle name="Normal 13" xfId="182"/>
    <cellStyle name="Normal 15" xfId="183"/>
    <cellStyle name="Normal 18" xfId="184"/>
    <cellStyle name="Normal 19" xfId="185"/>
    <cellStyle name="Normal 2" xfId="186"/>
    <cellStyle name="Normal 2 2" xfId="187"/>
    <cellStyle name="Normal 2 3" xfId="188"/>
    <cellStyle name="Normal 2 4" xfId="189"/>
    <cellStyle name="Normal 27" xfId="190"/>
    <cellStyle name="Normal 28" xfId="191"/>
    <cellStyle name="Normal 3" xfId="192"/>
    <cellStyle name="Normal 4" xfId="193"/>
    <cellStyle name="Normal 5" xfId="194"/>
    <cellStyle name="Normal 6" xfId="195"/>
    <cellStyle name="Normal 7" xfId="196"/>
    <cellStyle name="Normal 9" xfId="197"/>
    <cellStyle name="Normal_Sheet1" xfId="198"/>
    <cellStyle name="Normal_tame pask" xfId="199"/>
    <cellStyle name="Note" xfId="200"/>
    <cellStyle name="Note 2" xfId="201"/>
    <cellStyle name="Note 3" xfId="202"/>
    <cellStyle name="Output" xfId="203"/>
    <cellStyle name="Output 2" xfId="204"/>
    <cellStyle name="Parasts 3" xfId="205"/>
    <cellStyle name="Paskaidrojošs teksts" xfId="206"/>
    <cellStyle name="Paskaidrojošs teksts 2" xfId="207"/>
    <cellStyle name="Paskaidrojošs teksts 3" xfId="208"/>
    <cellStyle name="Pārbaudes šūna" xfId="209"/>
    <cellStyle name="Pārbaudes šūna 2" xfId="210"/>
    <cellStyle name="Pārbaudes šūna 3" xfId="211"/>
    <cellStyle name="Percent" xfId="212"/>
    <cellStyle name="Percent 2" xfId="213"/>
    <cellStyle name="Piezīme" xfId="214"/>
    <cellStyle name="Piezīme 2" xfId="215"/>
    <cellStyle name="Piezīme 3" xfId="216"/>
    <cellStyle name="Saistīta šūna" xfId="217"/>
    <cellStyle name="Saistīta šūna 2" xfId="218"/>
    <cellStyle name="Saistīta šūna 3" xfId="219"/>
    <cellStyle name="Slikts" xfId="220"/>
    <cellStyle name="Slikts 2" xfId="221"/>
    <cellStyle name="Slikts 3" xfId="222"/>
    <cellStyle name="Style 1" xfId="223"/>
    <cellStyle name="Style 1 2" xfId="224"/>
    <cellStyle name="Title" xfId="225"/>
    <cellStyle name="Title 2" xfId="226"/>
    <cellStyle name="Total" xfId="227"/>
    <cellStyle name="Total 2" xfId="228"/>
    <cellStyle name="Virsraksts 1" xfId="229"/>
    <cellStyle name="Virsraksts 1 2" xfId="230"/>
    <cellStyle name="Virsraksts 1 3" xfId="231"/>
    <cellStyle name="Virsraksts 2" xfId="232"/>
    <cellStyle name="Virsraksts 2 2" xfId="233"/>
    <cellStyle name="Virsraksts 2 3" xfId="234"/>
    <cellStyle name="Virsraksts 3" xfId="235"/>
    <cellStyle name="Virsraksts 3 2" xfId="236"/>
    <cellStyle name="Virsraksts 3 3" xfId="237"/>
    <cellStyle name="Virsraksts 4" xfId="238"/>
    <cellStyle name="Virsraksts 4 2" xfId="239"/>
    <cellStyle name="Virsraksts 4 3" xfId="240"/>
    <cellStyle name="Warning Text" xfId="241"/>
    <cellStyle name="Warning Text 2" xfId="242"/>
    <cellStyle name="Обычный_2009-04-27_PED IESN" xfId="243"/>
    <cellStyle name="Обычный_Muzik_kab_tame22_01_12" xfId="244"/>
    <cellStyle name="Стиль 1" xfId="2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171717"/>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3"/>
  <sheetViews>
    <sheetView zoomScale="135" zoomScaleNormal="135" zoomScalePageLayoutView="0" workbookViewId="0" topLeftCell="A1">
      <selection activeCell="L6" sqref="L6"/>
    </sheetView>
  </sheetViews>
  <sheetFormatPr defaultColWidth="8.7109375" defaultRowHeight="12.75"/>
  <cols>
    <col min="1" max="1" width="2.7109375" style="0" customWidth="1"/>
    <col min="2" max="2" width="44.140625" style="0" customWidth="1"/>
    <col min="3" max="3" width="8.7109375" style="0" customWidth="1"/>
    <col min="4" max="15" width="7.140625" style="0" customWidth="1"/>
  </cols>
  <sheetData>
    <row r="1" spans="1:15" ht="12.75">
      <c r="A1" s="1"/>
      <c r="B1" s="2" t="s">
        <v>0</v>
      </c>
      <c r="C1" s="129" t="s">
        <v>1</v>
      </c>
      <c r="D1" s="129"/>
      <c r="E1" s="129"/>
      <c r="F1" s="129"/>
      <c r="G1" s="129"/>
      <c r="H1" s="1"/>
      <c r="I1" s="1"/>
      <c r="J1" s="1"/>
      <c r="K1" s="1"/>
      <c r="L1" s="1"/>
      <c r="M1" s="1"/>
      <c r="N1" s="1"/>
      <c r="O1" s="1"/>
    </row>
    <row r="2" spans="2:5" ht="12.75">
      <c r="B2" s="2" t="s">
        <v>2</v>
      </c>
      <c r="C2" s="129" t="s">
        <v>3</v>
      </c>
      <c r="D2" s="129"/>
      <c r="E2" s="129"/>
    </row>
    <row r="3" spans="2:5" ht="12.75">
      <c r="B3" s="2" t="s">
        <v>4</v>
      </c>
      <c r="C3" s="129" t="s">
        <v>5</v>
      </c>
      <c r="D3" s="129"/>
      <c r="E3" s="129"/>
    </row>
    <row r="4" spans="2:15" ht="12.75" customHeight="1">
      <c r="B4" s="2" t="s">
        <v>6</v>
      </c>
      <c r="C4" s="130" t="s">
        <v>7</v>
      </c>
      <c r="D4" s="130"/>
      <c r="E4" s="130"/>
      <c r="F4" s="130"/>
      <c r="G4" s="130"/>
      <c r="L4" s="131" t="s">
        <v>8</v>
      </c>
      <c r="M4" s="131"/>
      <c r="N4" s="131"/>
      <c r="O4" s="3"/>
    </row>
    <row r="5" spans="2:15" ht="12.75">
      <c r="B5" s="2" t="s">
        <v>9</v>
      </c>
      <c r="L5" s="131" t="s">
        <v>10</v>
      </c>
      <c r="M5" s="131"/>
      <c r="N5" s="131"/>
      <c r="O5" s="131"/>
    </row>
    <row r="6" ht="12.75">
      <c r="B6" s="2"/>
    </row>
    <row r="7" spans="2:3" ht="12.75">
      <c r="B7" s="2" t="s">
        <v>11</v>
      </c>
      <c r="C7" s="4">
        <v>96.9</v>
      </c>
    </row>
    <row r="8" spans="2:3" ht="12.75">
      <c r="B8" s="2" t="s">
        <v>12</v>
      </c>
      <c r="C8" s="4">
        <v>12.8</v>
      </c>
    </row>
    <row r="9" spans="2:3" ht="12.75">
      <c r="B9" s="2" t="s">
        <v>13</v>
      </c>
      <c r="C9" s="4">
        <v>14</v>
      </c>
    </row>
    <row r="10" spans="2:3" ht="12.75">
      <c r="B10" s="2" t="s">
        <v>14</v>
      </c>
      <c r="C10" s="5">
        <f>C7*C8</f>
        <v>1240.3200000000002</v>
      </c>
    </row>
    <row r="11" spans="2:3" ht="12.75">
      <c r="B11" s="2" t="s">
        <v>15</v>
      </c>
      <c r="C11" s="5">
        <f>(C7+C8)*2</f>
        <v>219.4</v>
      </c>
    </row>
    <row r="12" spans="2:3" ht="12.75">
      <c r="B12" s="2" t="s">
        <v>16</v>
      </c>
      <c r="C12" s="5">
        <f>C11*C9</f>
        <v>3071.6</v>
      </c>
    </row>
    <row r="13" spans="2:3" ht="12.75">
      <c r="B13" s="2" t="s">
        <v>17</v>
      </c>
      <c r="C13" s="4">
        <f>381.15+8</f>
        <v>389.15</v>
      </c>
    </row>
    <row r="14" spans="2:3" ht="12.75">
      <c r="B14" s="2" t="s">
        <v>18</v>
      </c>
      <c r="C14" s="4">
        <v>470.74</v>
      </c>
    </row>
    <row r="15" spans="2:3" ht="12.75">
      <c r="B15" s="2" t="s">
        <v>19</v>
      </c>
      <c r="C15" s="4">
        <v>225</v>
      </c>
    </row>
    <row r="16" spans="2:3" ht="12.75">
      <c r="B16" s="2" t="s">
        <v>20</v>
      </c>
      <c r="C16" s="4"/>
    </row>
    <row r="17" spans="2:3" ht="12.75">
      <c r="B17" s="2" t="s">
        <v>21</v>
      </c>
      <c r="C17" s="5">
        <f>((C13+C14)+C15)+C16</f>
        <v>1084.8899999999999</v>
      </c>
    </row>
    <row r="18" spans="2:3" ht="12.75">
      <c r="B18" s="2" t="s">
        <v>22</v>
      </c>
      <c r="C18" s="4">
        <v>0</v>
      </c>
    </row>
    <row r="19" spans="2:3" ht="12.75">
      <c r="B19" s="2" t="s">
        <v>23</v>
      </c>
      <c r="C19" s="4">
        <v>0.8</v>
      </c>
    </row>
    <row r="20" spans="2:3" ht="12.75">
      <c r="B20" s="2" t="s">
        <v>24</v>
      </c>
      <c r="C20" s="5">
        <f>C11*C19</f>
        <v>175.52</v>
      </c>
    </row>
    <row r="21" spans="2:3" ht="12.75">
      <c r="B21" s="2" t="s">
        <v>25</v>
      </c>
      <c r="C21" s="4">
        <v>1</v>
      </c>
    </row>
    <row r="22" spans="2:3" ht="12.75">
      <c r="B22" s="2" t="s">
        <v>26</v>
      </c>
      <c r="C22" s="5">
        <f>C21*C11</f>
        <v>219.4</v>
      </c>
    </row>
    <row r="23" spans="2:3" ht="12.75">
      <c r="B23" s="2" t="s">
        <v>27</v>
      </c>
      <c r="C23" s="4">
        <v>9</v>
      </c>
    </row>
    <row r="24" spans="2:3" ht="12.75">
      <c r="B24" s="2" t="s">
        <v>28</v>
      </c>
      <c r="C24" s="4">
        <v>6</v>
      </c>
    </row>
    <row r="25" spans="2:3" ht="12.75">
      <c r="B25" s="2" t="s">
        <v>29</v>
      </c>
      <c r="C25" s="4">
        <v>3</v>
      </c>
    </row>
    <row r="26" spans="2:3" ht="12.75">
      <c r="B26" s="2" t="s">
        <v>30</v>
      </c>
      <c r="C26" s="4">
        <v>1.5</v>
      </c>
    </row>
    <row r="27" spans="2:3" ht="12.75">
      <c r="B27" s="2" t="s">
        <v>31</v>
      </c>
      <c r="C27" s="5">
        <f>C25*C26</f>
        <v>4.5</v>
      </c>
    </row>
    <row r="28" spans="2:3" ht="12.75">
      <c r="B28" s="2" t="s">
        <v>32</v>
      </c>
      <c r="C28" s="4">
        <v>2</v>
      </c>
    </row>
    <row r="29" spans="2:3" ht="12.75">
      <c r="B29" s="2" t="s">
        <v>33</v>
      </c>
      <c r="C29" s="5">
        <f>IF((C28=0),((SQRT(((C28^2)+((C8/2)^2)))*C7)*2),(((SQRT(((C28^2)+((C8/2)^2)))*C7)*2)*1.1))</f>
        <v>1429.4191930654915</v>
      </c>
    </row>
    <row r="30" spans="2:3" ht="12.75">
      <c r="B30" s="2" t="s">
        <v>34</v>
      </c>
      <c r="C30" s="5">
        <f>(C11*0.5)+1</f>
        <v>110.7</v>
      </c>
    </row>
    <row r="31" spans="2:3" ht="12.75">
      <c r="B31" s="2" t="s">
        <v>35</v>
      </c>
      <c r="C31" s="4">
        <v>0</v>
      </c>
    </row>
    <row r="32" spans="2:3" ht="12.75">
      <c r="B32" s="2" t="s">
        <v>36</v>
      </c>
      <c r="C32" s="4">
        <v>18</v>
      </c>
    </row>
    <row r="33" spans="2:3" ht="12.75">
      <c r="B33" s="2" t="s">
        <v>37</v>
      </c>
      <c r="C33" s="4">
        <v>2</v>
      </c>
    </row>
    <row r="34" spans="2:3" ht="12.75">
      <c r="B34" s="2" t="s">
        <v>38</v>
      </c>
      <c r="C34" s="4">
        <f>84*3</f>
        <v>252</v>
      </c>
    </row>
    <row r="35" spans="2:3" ht="12.75">
      <c r="B35" s="2" t="s">
        <v>39</v>
      </c>
      <c r="C35" s="4">
        <v>400</v>
      </c>
    </row>
    <row r="36" spans="2:3" ht="12.75">
      <c r="B36" s="2" t="s">
        <v>40</v>
      </c>
      <c r="C36" s="4">
        <v>400</v>
      </c>
    </row>
    <row r="37" spans="2:3" ht="12.75">
      <c r="B37" s="2"/>
      <c r="C37" s="4"/>
    </row>
    <row r="38" spans="2:3" ht="12.75">
      <c r="B38" s="2"/>
      <c r="C38" s="4"/>
    </row>
    <row r="39" spans="2:3" ht="12.75">
      <c r="B39" s="2"/>
      <c r="C39" s="4"/>
    </row>
    <row r="40" spans="2:3" ht="12.75">
      <c r="B40" s="2" t="s">
        <v>41</v>
      </c>
      <c r="C40" s="6">
        <v>2.5</v>
      </c>
    </row>
    <row r="41" spans="1:16" ht="12.75">
      <c r="A41" s="7"/>
      <c r="B41" s="8" t="s">
        <v>42</v>
      </c>
      <c r="C41" s="9">
        <v>0.05</v>
      </c>
      <c r="D41" s="10"/>
      <c r="E41" s="10"/>
      <c r="F41" s="10"/>
      <c r="G41" s="10"/>
      <c r="H41" s="10"/>
      <c r="I41" s="10"/>
      <c r="J41" s="10"/>
      <c r="K41" s="10"/>
      <c r="L41" s="10"/>
      <c r="M41" s="10"/>
      <c r="N41" s="10"/>
      <c r="O41" s="10"/>
      <c r="P41" s="7"/>
    </row>
    <row r="42" spans="1:16" ht="12.75">
      <c r="A42" s="7"/>
      <c r="B42" s="8" t="s">
        <v>43</v>
      </c>
      <c r="C42" s="9">
        <v>0.08</v>
      </c>
      <c r="D42" s="10"/>
      <c r="E42" s="10"/>
      <c r="F42" s="10"/>
      <c r="G42" s="10"/>
      <c r="H42" s="10"/>
      <c r="I42" s="10"/>
      <c r="J42" s="10"/>
      <c r="K42" s="10"/>
      <c r="L42" s="10"/>
      <c r="M42" s="10"/>
      <c r="N42" s="10"/>
      <c r="O42" s="10"/>
      <c r="P42" s="7"/>
    </row>
    <row r="43" spans="2:3" ht="12.75">
      <c r="B43" s="11" t="s">
        <v>44</v>
      </c>
      <c r="C43" s="12">
        <v>0.04</v>
      </c>
    </row>
  </sheetData>
  <sheetProtection selectLockedCells="1" selectUnlockedCells="1"/>
  <mergeCells count="6">
    <mergeCell ref="C1:G1"/>
    <mergeCell ref="C2:E2"/>
    <mergeCell ref="C3:E3"/>
    <mergeCell ref="C4:G4"/>
    <mergeCell ref="L4:N4"/>
    <mergeCell ref="L5:O5"/>
  </mergeCells>
  <printOptions/>
  <pageMargins left="0.75" right="0.75" top="1.7875" bottom="1.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R98"/>
  <sheetViews>
    <sheetView zoomScale="115" zoomScaleNormal="115" zoomScalePageLayoutView="0" workbookViewId="0" topLeftCell="A1">
      <selection activeCell="M95" sqref="M95"/>
    </sheetView>
  </sheetViews>
  <sheetFormatPr defaultColWidth="8.7109375" defaultRowHeight="12.75"/>
  <cols>
    <col min="1" max="1" width="1.1484375" style="41" customWidth="1"/>
    <col min="2" max="3" width="3.140625" style="41" customWidth="1"/>
    <col min="4" max="4" width="44.140625" style="41" customWidth="1"/>
    <col min="5" max="5" width="6.7109375" style="41" customWidth="1"/>
    <col min="6" max="6" width="6.00390625" style="41" customWidth="1"/>
    <col min="7" max="7" width="6.140625" style="41" customWidth="1"/>
    <col min="8" max="13" width="7.140625" style="41" customWidth="1"/>
    <col min="14" max="14" width="8.7109375" style="41" bestFit="1" customWidth="1"/>
    <col min="15" max="15" width="8.421875" style="41" customWidth="1"/>
    <col min="16" max="16" width="7.140625" style="41" customWidth="1"/>
    <col min="17" max="17" width="9.7109375" style="41" customWidth="1"/>
    <col min="18" max="16384" width="8.7109375" style="41" customWidth="1"/>
  </cols>
  <sheetData>
    <row r="1" ht="9">
      <c r="J1" s="113" t="str">
        <f>Kopsavilkums!C14</f>
        <v>Lokālā tāme Nr. 1</v>
      </c>
    </row>
    <row r="2" spans="4:17" ht="9">
      <c r="D2" s="45"/>
      <c r="E2" s="45"/>
      <c r="F2" s="45"/>
      <c r="G2" s="45"/>
      <c r="H2" s="45"/>
      <c r="I2" s="45"/>
      <c r="J2" s="49" t="str">
        <f>D13</f>
        <v>Plakanais jumts</v>
      </c>
      <c r="K2" s="45"/>
      <c r="L2" s="45"/>
      <c r="M2" s="45"/>
      <c r="N2" s="45"/>
      <c r="O2" s="45"/>
      <c r="P2" s="45"/>
      <c r="Q2" s="45"/>
    </row>
    <row r="3" spans="2:17" ht="9">
      <c r="B3" s="45"/>
      <c r="C3" s="45"/>
      <c r="D3" s="46" t="s">
        <v>0</v>
      </c>
      <c r="E3" s="139"/>
      <c r="F3" s="139"/>
      <c r="G3" s="139"/>
      <c r="H3" s="139"/>
      <c r="I3" s="139"/>
      <c r="J3" s="45"/>
      <c r="K3" s="45"/>
      <c r="L3" s="45"/>
      <c r="M3" s="45"/>
      <c r="N3" s="45"/>
      <c r="O3" s="45"/>
      <c r="P3" s="45"/>
      <c r="Q3" s="45"/>
    </row>
    <row r="4" spans="4:7" ht="12.75" customHeight="1">
      <c r="D4" s="46" t="s">
        <v>2</v>
      </c>
      <c r="E4" s="114" t="str">
        <f>Kopsavilkums!D5</f>
        <v>Dzīvojamās mājas jumta seguma nomaiņa, bēniņu un mazā jumta pārseguma siltināšana</v>
      </c>
      <c r="F4" s="114"/>
      <c r="G4" s="114"/>
    </row>
    <row r="5" spans="4:7" ht="9">
      <c r="D5" s="46" t="s">
        <v>4</v>
      </c>
      <c r="E5" s="139" t="str">
        <f>Kopsavilkums!D6</f>
        <v>Dzīvojamās mājas jumta seguma nomaiņa, bēniņu un mazā jumta pārseguma siltināšana</v>
      </c>
      <c r="F5" s="139"/>
      <c r="G5" s="139"/>
    </row>
    <row r="6" spans="4:17" ht="12.75" customHeight="1">
      <c r="D6" s="46" t="s">
        <v>6</v>
      </c>
      <c r="E6" s="140" t="str">
        <f>Kopsavilkums!D7</f>
        <v>Daugavpils, Bauskas iela 5</v>
      </c>
      <c r="F6" s="140"/>
      <c r="G6" s="140"/>
      <c r="H6" s="140"/>
      <c r="I6" s="47"/>
      <c r="N6" s="139" t="s">
        <v>8</v>
      </c>
      <c r="O6" s="139"/>
      <c r="P6" s="139"/>
      <c r="Q6" s="48">
        <f>Q94</f>
        <v>59037.8617738</v>
      </c>
    </row>
    <row r="7" spans="4:17" ht="9">
      <c r="D7" s="142" t="str">
        <f>Kopsavilkums!B8</f>
        <v>Tāme sastādīta 2018. gada tirgus cenās pamatojoties uz AR daļas rasējumiem.</v>
      </c>
      <c r="E7" s="142"/>
      <c r="F7" s="142"/>
      <c r="G7" s="142"/>
      <c r="N7" s="139" t="str">
        <f>Kopsavilkums!F11</f>
        <v>Tāme sastādīta 2019. gada 21.janvārī</v>
      </c>
      <c r="O7" s="139"/>
      <c r="P7" s="139"/>
      <c r="Q7" s="139"/>
    </row>
    <row r="8" spans="2:17" ht="9">
      <c r="B8" s="50"/>
      <c r="C8" s="50"/>
      <c r="D8" s="50"/>
      <c r="E8" s="50"/>
      <c r="F8" s="50"/>
      <c r="G8" s="50"/>
      <c r="H8" s="50"/>
      <c r="I8" s="50"/>
      <c r="J8" s="50"/>
      <c r="K8" s="50"/>
      <c r="L8" s="50"/>
      <c r="M8" s="50"/>
      <c r="N8" s="50"/>
      <c r="O8" s="50"/>
      <c r="P8" s="50"/>
      <c r="Q8" s="50"/>
    </row>
    <row r="9" spans="2:18" ht="12.75" customHeight="1">
      <c r="B9" s="132" t="s">
        <v>83</v>
      </c>
      <c r="C9" s="137" t="s">
        <v>82</v>
      </c>
      <c r="D9" s="132" t="s">
        <v>84</v>
      </c>
      <c r="E9" s="132" t="s">
        <v>85</v>
      </c>
      <c r="F9" s="133" t="s">
        <v>46</v>
      </c>
      <c r="G9" s="133" t="s">
        <v>86</v>
      </c>
      <c r="H9" s="133" t="s">
        <v>87</v>
      </c>
      <c r="I9" s="141" t="s">
        <v>88</v>
      </c>
      <c r="J9" s="141"/>
      <c r="K9" s="141"/>
      <c r="L9" s="141"/>
      <c r="M9" s="133" t="s">
        <v>89</v>
      </c>
      <c r="N9" s="141" t="s">
        <v>90</v>
      </c>
      <c r="O9" s="141"/>
      <c r="P9" s="141"/>
      <c r="Q9" s="141"/>
      <c r="R9" s="51"/>
    </row>
    <row r="10" spans="2:18" ht="28.5">
      <c r="B10" s="132"/>
      <c r="C10" s="138"/>
      <c r="D10" s="132"/>
      <c r="E10" s="132"/>
      <c r="F10" s="133"/>
      <c r="G10" s="133"/>
      <c r="H10" s="133"/>
      <c r="I10" s="31" t="s">
        <v>91</v>
      </c>
      <c r="J10" s="31" t="s">
        <v>92</v>
      </c>
      <c r="K10" s="31" t="s">
        <v>93</v>
      </c>
      <c r="L10" s="31" t="s">
        <v>94</v>
      </c>
      <c r="M10" s="133"/>
      <c r="N10" s="31" t="s">
        <v>95</v>
      </c>
      <c r="O10" s="31" t="s">
        <v>96</v>
      </c>
      <c r="P10" s="31" t="s">
        <v>97</v>
      </c>
      <c r="Q10" s="31" t="s">
        <v>94</v>
      </c>
      <c r="R10" s="51"/>
    </row>
    <row r="11" spans="2:18" ht="9">
      <c r="B11" s="36">
        <v>1</v>
      </c>
      <c r="C11" s="36">
        <v>2</v>
      </c>
      <c r="D11" s="36">
        <v>3</v>
      </c>
      <c r="E11" s="36">
        <v>4</v>
      </c>
      <c r="F11" s="36">
        <v>5</v>
      </c>
      <c r="G11" s="36">
        <v>6</v>
      </c>
      <c r="H11" s="36">
        <v>7</v>
      </c>
      <c r="I11" s="36">
        <v>8</v>
      </c>
      <c r="J11" s="36">
        <v>9</v>
      </c>
      <c r="K11" s="36">
        <v>10</v>
      </c>
      <c r="L11" s="36">
        <v>11</v>
      </c>
      <c r="M11" s="36">
        <v>12</v>
      </c>
      <c r="N11" s="36">
        <v>13</v>
      </c>
      <c r="O11" s="36">
        <v>14</v>
      </c>
      <c r="P11" s="36">
        <v>15</v>
      </c>
      <c r="Q11" s="36">
        <v>16</v>
      </c>
      <c r="R11" s="51"/>
    </row>
    <row r="12" spans="2:18" ht="9">
      <c r="B12" s="52"/>
      <c r="C12" s="56"/>
      <c r="D12" s="56"/>
      <c r="E12" s="56"/>
      <c r="F12" s="56"/>
      <c r="G12" s="93"/>
      <c r="H12" s="93"/>
      <c r="I12" s="93"/>
      <c r="J12" s="93"/>
      <c r="K12" s="93"/>
      <c r="L12" s="93"/>
      <c r="M12" s="93"/>
      <c r="N12" s="93"/>
      <c r="O12" s="93"/>
      <c r="P12" s="93"/>
      <c r="Q12" s="93"/>
      <c r="R12" s="54"/>
    </row>
    <row r="13" spans="2:18" ht="9">
      <c r="B13" s="65"/>
      <c r="C13" s="57"/>
      <c r="D13" s="94" t="s">
        <v>139</v>
      </c>
      <c r="E13" s="57"/>
      <c r="F13" s="95"/>
      <c r="G13" s="96"/>
      <c r="H13" s="96"/>
      <c r="I13" s="96"/>
      <c r="J13" s="96"/>
      <c r="K13" s="96"/>
      <c r="L13" s="96"/>
      <c r="M13" s="96"/>
      <c r="N13" s="96"/>
      <c r="O13" s="96"/>
      <c r="P13" s="96"/>
      <c r="Q13" s="96"/>
      <c r="R13" s="61"/>
    </row>
    <row r="14" spans="2:18" ht="9">
      <c r="B14" s="65"/>
      <c r="C14" s="57"/>
      <c r="D14" s="94" t="s">
        <v>145</v>
      </c>
      <c r="E14" s="57"/>
      <c r="F14" s="95"/>
      <c r="G14" s="96"/>
      <c r="H14" s="96"/>
      <c r="I14" s="96"/>
      <c r="J14" s="96"/>
      <c r="K14" s="96"/>
      <c r="L14" s="96"/>
      <c r="M14" s="96"/>
      <c r="N14" s="96"/>
      <c r="O14" s="96"/>
      <c r="P14" s="96"/>
      <c r="Q14" s="96"/>
      <c r="R14" s="61"/>
    </row>
    <row r="15" spans="2:18" ht="38.25">
      <c r="B15" s="65">
        <v>1</v>
      </c>
      <c r="C15" s="66"/>
      <c r="D15" s="98" t="s">
        <v>144</v>
      </c>
      <c r="E15" s="99" t="s">
        <v>143</v>
      </c>
      <c r="F15" s="99">
        <v>1</v>
      </c>
      <c r="G15" s="100">
        <v>45</v>
      </c>
      <c r="H15" s="79">
        <v>8.5</v>
      </c>
      <c r="I15" s="100">
        <f aca="true" t="shared" si="0" ref="I15:I21">ROUND(H15*G15,2)</f>
        <v>382.5</v>
      </c>
      <c r="J15" s="100">
        <v>250</v>
      </c>
      <c r="K15" s="100">
        <v>15</v>
      </c>
      <c r="L15" s="100">
        <f aca="true" t="shared" si="1" ref="L15:L21">SUM(I15:K15)</f>
        <v>647.5</v>
      </c>
      <c r="M15" s="100">
        <f aca="true" t="shared" si="2" ref="M15:M21">ROUND(F15*G15,2)</f>
        <v>45</v>
      </c>
      <c r="N15" s="100">
        <f aca="true" t="shared" si="3" ref="N15:N21">ROUND(F15*I15,2)</f>
        <v>382.5</v>
      </c>
      <c r="O15" s="100">
        <f aca="true" t="shared" si="4" ref="O15:O21">ROUND(F15*J15,2)</f>
        <v>250</v>
      </c>
      <c r="P15" s="100">
        <f aca="true" t="shared" si="5" ref="P15:P21">ROUND(F15*K15,2)</f>
        <v>15</v>
      </c>
      <c r="Q15" s="100">
        <f aca="true" t="shared" si="6" ref="Q15:Q21">SUM(N15:P15)</f>
        <v>647.5</v>
      </c>
      <c r="R15" s="61"/>
    </row>
    <row r="16" spans="2:18" ht="18.75">
      <c r="B16" s="52">
        <v>2</v>
      </c>
      <c r="C16" s="60"/>
      <c r="D16" s="98" t="s">
        <v>161</v>
      </c>
      <c r="E16" s="99" t="s">
        <v>47</v>
      </c>
      <c r="F16" s="99">
        <v>21.61</v>
      </c>
      <c r="G16" s="100">
        <v>0.25</v>
      </c>
      <c r="H16" s="75">
        <v>8.5</v>
      </c>
      <c r="I16" s="100">
        <f t="shared" si="0"/>
        <v>2.13</v>
      </c>
      <c r="J16" s="100"/>
      <c r="K16" s="39">
        <v>0.5</v>
      </c>
      <c r="L16" s="100">
        <f t="shared" si="1"/>
        <v>2.63</v>
      </c>
      <c r="M16" s="100">
        <f t="shared" si="2"/>
        <v>5.4</v>
      </c>
      <c r="N16" s="100">
        <f t="shared" si="3"/>
        <v>46.03</v>
      </c>
      <c r="O16" s="100">
        <f t="shared" si="4"/>
        <v>0</v>
      </c>
      <c r="P16" s="100">
        <f t="shared" si="5"/>
        <v>10.81</v>
      </c>
      <c r="Q16" s="100">
        <f t="shared" si="6"/>
        <v>56.84</v>
      </c>
      <c r="R16" s="54"/>
    </row>
    <row r="17" spans="2:18" ht="18.75">
      <c r="B17" s="65">
        <v>3</v>
      </c>
      <c r="C17" s="109"/>
      <c r="D17" s="98" t="s">
        <v>162</v>
      </c>
      <c r="E17" s="99" t="s">
        <v>47</v>
      </c>
      <c r="F17" s="99">
        <v>103</v>
      </c>
      <c r="G17" s="100">
        <v>0.25</v>
      </c>
      <c r="H17" s="75">
        <v>8.5</v>
      </c>
      <c r="I17" s="100">
        <f t="shared" si="0"/>
        <v>2.13</v>
      </c>
      <c r="J17" s="100"/>
      <c r="K17" s="39">
        <v>2</v>
      </c>
      <c r="L17" s="100">
        <f t="shared" si="1"/>
        <v>4.13</v>
      </c>
      <c r="M17" s="100">
        <f t="shared" si="2"/>
        <v>25.75</v>
      </c>
      <c r="N17" s="100">
        <f t="shared" si="3"/>
        <v>219.39</v>
      </c>
      <c r="O17" s="100">
        <f t="shared" si="4"/>
        <v>0</v>
      </c>
      <c r="P17" s="100">
        <f t="shared" si="5"/>
        <v>206</v>
      </c>
      <c r="Q17" s="100">
        <f t="shared" si="6"/>
        <v>425.39</v>
      </c>
      <c r="R17" s="54"/>
    </row>
    <row r="18" spans="2:18" ht="28.5">
      <c r="B18" s="52">
        <v>4</v>
      </c>
      <c r="C18" s="56"/>
      <c r="D18" s="102" t="s">
        <v>142</v>
      </c>
      <c r="E18" s="103" t="s">
        <v>47</v>
      </c>
      <c r="F18" s="103">
        <v>910</v>
      </c>
      <c r="G18" s="104">
        <v>0.25</v>
      </c>
      <c r="H18" s="76">
        <v>8.5</v>
      </c>
      <c r="I18" s="104">
        <f t="shared" si="0"/>
        <v>2.13</v>
      </c>
      <c r="J18" s="104"/>
      <c r="K18" s="39">
        <v>0.3</v>
      </c>
      <c r="L18" s="104">
        <f t="shared" si="1"/>
        <v>2.4299999999999997</v>
      </c>
      <c r="M18" s="104">
        <f t="shared" si="2"/>
        <v>227.5</v>
      </c>
      <c r="N18" s="104">
        <f t="shared" si="3"/>
        <v>1938.3</v>
      </c>
      <c r="O18" s="104">
        <f t="shared" si="4"/>
        <v>0</v>
      </c>
      <c r="P18" s="104">
        <f t="shared" si="5"/>
        <v>273</v>
      </c>
      <c r="Q18" s="104">
        <f t="shared" si="6"/>
        <v>2211.3</v>
      </c>
      <c r="R18" s="54"/>
    </row>
    <row r="19" spans="2:18" ht="18.75">
      <c r="B19" s="65">
        <v>5</v>
      </c>
      <c r="C19" s="57"/>
      <c r="D19" s="97" t="s">
        <v>146</v>
      </c>
      <c r="E19" s="32" t="s">
        <v>48</v>
      </c>
      <c r="F19" s="32">
        <v>460</v>
      </c>
      <c r="G19" s="111">
        <v>0.05</v>
      </c>
      <c r="H19" s="78">
        <v>8.5</v>
      </c>
      <c r="I19" s="39">
        <f t="shared" si="0"/>
        <v>0.43</v>
      </c>
      <c r="J19" s="39"/>
      <c r="K19" s="39">
        <v>0.2</v>
      </c>
      <c r="L19" s="39">
        <f t="shared" si="1"/>
        <v>0.63</v>
      </c>
      <c r="M19" s="39">
        <f t="shared" si="2"/>
        <v>23</v>
      </c>
      <c r="N19" s="39">
        <f t="shared" si="3"/>
        <v>197.8</v>
      </c>
      <c r="O19" s="39">
        <f t="shared" si="4"/>
        <v>0</v>
      </c>
      <c r="P19" s="39">
        <f t="shared" si="5"/>
        <v>92</v>
      </c>
      <c r="Q19" s="39">
        <f t="shared" si="6"/>
        <v>289.8</v>
      </c>
      <c r="R19" s="61"/>
    </row>
    <row r="20" spans="2:18" ht="18.75">
      <c r="B20" s="52">
        <v>6</v>
      </c>
      <c r="C20" s="57"/>
      <c r="D20" s="97" t="s">
        <v>157</v>
      </c>
      <c r="E20" s="32" t="s">
        <v>99</v>
      </c>
      <c r="F20" s="32">
        <v>25</v>
      </c>
      <c r="G20" s="111">
        <v>2</v>
      </c>
      <c r="H20" s="78">
        <v>8.5</v>
      </c>
      <c r="I20" s="39">
        <f t="shared" si="0"/>
        <v>17</v>
      </c>
      <c r="J20" s="39"/>
      <c r="K20" s="39">
        <v>3</v>
      </c>
      <c r="L20" s="39">
        <f t="shared" si="1"/>
        <v>20</v>
      </c>
      <c r="M20" s="39">
        <f t="shared" si="2"/>
        <v>50</v>
      </c>
      <c r="N20" s="39">
        <f t="shared" si="3"/>
        <v>425</v>
      </c>
      <c r="O20" s="39">
        <f t="shared" si="4"/>
        <v>0</v>
      </c>
      <c r="P20" s="39">
        <f t="shared" si="5"/>
        <v>75</v>
      </c>
      <c r="Q20" s="39">
        <f t="shared" si="6"/>
        <v>500</v>
      </c>
      <c r="R20" s="61"/>
    </row>
    <row r="21" spans="2:18" ht="18.75">
      <c r="B21" s="65">
        <v>7</v>
      </c>
      <c r="C21" s="57"/>
      <c r="D21" s="97" t="s">
        <v>158</v>
      </c>
      <c r="E21" s="32" t="s">
        <v>99</v>
      </c>
      <c r="F21" s="32">
        <v>5</v>
      </c>
      <c r="G21" s="111">
        <v>2</v>
      </c>
      <c r="H21" s="78">
        <v>8.5</v>
      </c>
      <c r="I21" s="39">
        <f t="shared" si="0"/>
        <v>17</v>
      </c>
      <c r="J21" s="39"/>
      <c r="K21" s="39">
        <v>3</v>
      </c>
      <c r="L21" s="39">
        <f t="shared" si="1"/>
        <v>20</v>
      </c>
      <c r="M21" s="39">
        <f t="shared" si="2"/>
        <v>10</v>
      </c>
      <c r="N21" s="39">
        <f t="shared" si="3"/>
        <v>85</v>
      </c>
      <c r="O21" s="39">
        <f t="shared" si="4"/>
        <v>0</v>
      </c>
      <c r="P21" s="39">
        <f t="shared" si="5"/>
        <v>15</v>
      </c>
      <c r="Q21" s="39">
        <f t="shared" si="6"/>
        <v>100</v>
      </c>
      <c r="R21" s="61"/>
    </row>
    <row r="22" spans="2:18" ht="9">
      <c r="B22" s="65"/>
      <c r="C22" s="57"/>
      <c r="D22" s="97"/>
      <c r="E22" s="32"/>
      <c r="F22" s="32"/>
      <c r="G22" s="111"/>
      <c r="H22" s="78"/>
      <c r="I22" s="39"/>
      <c r="J22" s="39"/>
      <c r="K22" s="39"/>
      <c r="L22" s="39"/>
      <c r="M22" s="39"/>
      <c r="N22" s="39"/>
      <c r="O22" s="39"/>
      <c r="P22" s="39"/>
      <c r="Q22" s="39"/>
      <c r="R22" s="61"/>
    </row>
    <row r="23" spans="2:18" ht="9">
      <c r="B23" s="52"/>
      <c r="C23" s="60"/>
      <c r="D23" s="105" t="s">
        <v>147</v>
      </c>
      <c r="E23" s="60"/>
      <c r="F23" s="67"/>
      <c r="G23" s="79"/>
      <c r="H23" s="79"/>
      <c r="I23" s="79"/>
      <c r="J23" s="79"/>
      <c r="K23" s="79"/>
      <c r="L23" s="79"/>
      <c r="M23" s="79"/>
      <c r="N23" s="79"/>
      <c r="O23" s="79"/>
      <c r="P23" s="79"/>
      <c r="Q23" s="79"/>
      <c r="R23" s="54"/>
    </row>
    <row r="24" spans="2:18" ht="38.25">
      <c r="B24" s="52">
        <v>1</v>
      </c>
      <c r="C24" s="52"/>
      <c r="D24" s="30" t="s">
        <v>156</v>
      </c>
      <c r="E24" s="52" t="s">
        <v>48</v>
      </c>
      <c r="F24" s="34">
        <v>80</v>
      </c>
      <c r="G24" s="39">
        <v>1</v>
      </c>
      <c r="H24" s="39">
        <v>8.5</v>
      </c>
      <c r="I24" s="39">
        <f>ROUND(H24*G24,2)</f>
        <v>8.5</v>
      </c>
      <c r="J24" s="39">
        <v>14.5</v>
      </c>
      <c r="K24" s="39">
        <f>0.09*I24</f>
        <v>0.765</v>
      </c>
      <c r="L24" s="39">
        <f>SUM(I24:K24)</f>
        <v>23.765</v>
      </c>
      <c r="M24" s="39">
        <f aca="true" t="shared" si="7" ref="M24:M31">ROUND(F24*G24,2)</f>
        <v>80</v>
      </c>
      <c r="N24" s="39">
        <f aca="true" t="shared" si="8" ref="N24:N31">ROUND(F24*I24,2)</f>
        <v>680</v>
      </c>
      <c r="O24" s="39">
        <f aca="true" t="shared" si="9" ref="O24:O31">ROUND(F24*J24,2)</f>
        <v>1160</v>
      </c>
      <c r="P24" s="39">
        <f aca="true" t="shared" si="10" ref="P24:P31">ROUND(F24*K24,2)</f>
        <v>61.2</v>
      </c>
      <c r="Q24" s="39">
        <f aca="true" t="shared" si="11" ref="Q24:Q42">SUM(N24:P24)</f>
        <v>1901.2</v>
      </c>
      <c r="R24" s="54"/>
    </row>
    <row r="25" spans="2:18" ht="38.25">
      <c r="B25" s="52">
        <v>2</v>
      </c>
      <c r="C25" s="52"/>
      <c r="D25" s="106" t="s">
        <v>148</v>
      </c>
      <c r="E25" s="52" t="s">
        <v>48</v>
      </c>
      <c r="F25" s="34">
        <v>206</v>
      </c>
      <c r="G25" s="39">
        <v>1</v>
      </c>
      <c r="H25" s="39">
        <v>8.5</v>
      </c>
      <c r="I25" s="39">
        <f>ROUND(H25*G25,2)</f>
        <v>8.5</v>
      </c>
      <c r="J25" s="39">
        <v>5</v>
      </c>
      <c r="K25" s="39">
        <f>0.09*I25</f>
        <v>0.765</v>
      </c>
      <c r="L25" s="39">
        <f>SUM(I25:K25)</f>
        <v>14.265</v>
      </c>
      <c r="M25" s="39">
        <f t="shared" si="7"/>
        <v>206</v>
      </c>
      <c r="N25" s="39">
        <f t="shared" si="8"/>
        <v>1751</v>
      </c>
      <c r="O25" s="39">
        <f t="shared" si="9"/>
        <v>1030</v>
      </c>
      <c r="P25" s="39">
        <f t="shared" si="10"/>
        <v>157.59</v>
      </c>
      <c r="Q25" s="39">
        <f t="shared" si="11"/>
        <v>2938.59</v>
      </c>
      <c r="R25" s="54"/>
    </row>
    <row r="26" spans="2:18" ht="28.5">
      <c r="B26" s="52">
        <v>3</v>
      </c>
      <c r="C26" s="65"/>
      <c r="D26" s="97" t="s">
        <v>217</v>
      </c>
      <c r="E26" s="32" t="s">
        <v>47</v>
      </c>
      <c r="F26" s="32">
        <v>910</v>
      </c>
      <c r="G26" s="39">
        <v>0.6</v>
      </c>
      <c r="H26" s="39">
        <v>8.5</v>
      </c>
      <c r="I26" s="39">
        <f aca="true" t="shared" si="12" ref="I26:I33">ROUND(H26*G26,2)</f>
        <v>5.1</v>
      </c>
      <c r="J26" s="39">
        <v>0</v>
      </c>
      <c r="K26" s="39">
        <f>0.09*I26</f>
        <v>0.45899999999999996</v>
      </c>
      <c r="L26" s="39">
        <f aca="true" t="shared" si="13" ref="L26:L33">SUM(I26:K26)</f>
        <v>5.558999999999999</v>
      </c>
      <c r="M26" s="39">
        <f t="shared" si="7"/>
        <v>546</v>
      </c>
      <c r="N26" s="39">
        <f t="shared" si="8"/>
        <v>4641</v>
      </c>
      <c r="O26" s="39">
        <f t="shared" si="9"/>
        <v>0</v>
      </c>
      <c r="P26" s="39">
        <f t="shared" si="10"/>
        <v>417.69</v>
      </c>
      <c r="Q26" s="39">
        <f t="shared" si="11"/>
        <v>5058.69</v>
      </c>
      <c r="R26" s="54"/>
    </row>
    <row r="27" spans="2:18" ht="10.5">
      <c r="B27" s="52"/>
      <c r="C27" s="65"/>
      <c r="D27" s="115" t="s">
        <v>149</v>
      </c>
      <c r="E27" s="32" t="s">
        <v>47</v>
      </c>
      <c r="F27" s="32">
        <f>F26*1.5</f>
        <v>1365</v>
      </c>
      <c r="G27" s="39"/>
      <c r="H27" s="39"/>
      <c r="I27" s="39">
        <f t="shared" si="12"/>
        <v>0</v>
      </c>
      <c r="J27" s="39">
        <v>3.2</v>
      </c>
      <c r="K27" s="39">
        <f>0.09*I27</f>
        <v>0</v>
      </c>
      <c r="L27" s="39">
        <f t="shared" si="13"/>
        <v>3.2</v>
      </c>
      <c r="M27" s="39">
        <f t="shared" si="7"/>
        <v>0</v>
      </c>
      <c r="N27" s="39">
        <f t="shared" si="8"/>
        <v>0</v>
      </c>
      <c r="O27" s="39">
        <f t="shared" si="9"/>
        <v>4368</v>
      </c>
      <c r="P27" s="39">
        <f t="shared" si="10"/>
        <v>0</v>
      </c>
      <c r="Q27" s="39">
        <f t="shared" si="11"/>
        <v>4368</v>
      </c>
      <c r="R27" s="54"/>
    </row>
    <row r="28" spans="2:18" ht="10.5">
      <c r="B28" s="52"/>
      <c r="C28" s="65"/>
      <c r="D28" s="115" t="s">
        <v>150</v>
      </c>
      <c r="E28" s="32" t="s">
        <v>47</v>
      </c>
      <c r="F28" s="32">
        <f>F26*1.6</f>
        <v>1456</v>
      </c>
      <c r="G28" s="39"/>
      <c r="H28" s="39"/>
      <c r="I28" s="39">
        <f t="shared" si="12"/>
        <v>0</v>
      </c>
      <c r="J28" s="39">
        <v>3.9</v>
      </c>
      <c r="K28" s="39">
        <f>0.09*I28</f>
        <v>0</v>
      </c>
      <c r="L28" s="39">
        <f t="shared" si="13"/>
        <v>3.9</v>
      </c>
      <c r="M28" s="39">
        <f t="shared" si="7"/>
        <v>0</v>
      </c>
      <c r="N28" s="39">
        <f t="shared" si="8"/>
        <v>0</v>
      </c>
      <c r="O28" s="39">
        <f t="shared" si="9"/>
        <v>5678.4</v>
      </c>
      <c r="P28" s="39">
        <f t="shared" si="10"/>
        <v>0</v>
      </c>
      <c r="Q28" s="39">
        <f t="shared" si="11"/>
        <v>5678.4</v>
      </c>
      <c r="R28" s="54"/>
    </row>
    <row r="29" spans="2:18" ht="9">
      <c r="B29" s="52"/>
      <c r="C29" s="52"/>
      <c r="D29" s="58" t="s">
        <v>108</v>
      </c>
      <c r="E29" s="101" t="s">
        <v>109</v>
      </c>
      <c r="F29" s="32">
        <f>ROUND(F27*0.02,0)</f>
        <v>27</v>
      </c>
      <c r="G29" s="39"/>
      <c r="H29" s="39"/>
      <c r="I29" s="39">
        <f t="shared" si="12"/>
        <v>0</v>
      </c>
      <c r="J29" s="39">
        <v>36</v>
      </c>
      <c r="K29" s="39">
        <v>3</v>
      </c>
      <c r="L29" s="39">
        <f t="shared" si="13"/>
        <v>39</v>
      </c>
      <c r="M29" s="39">
        <f t="shared" si="7"/>
        <v>0</v>
      </c>
      <c r="N29" s="39">
        <f t="shared" si="8"/>
        <v>0</v>
      </c>
      <c r="O29" s="39">
        <f t="shared" si="9"/>
        <v>972</v>
      </c>
      <c r="P29" s="39">
        <f t="shared" si="10"/>
        <v>81</v>
      </c>
      <c r="Q29" s="39">
        <f t="shared" si="11"/>
        <v>1053</v>
      </c>
      <c r="R29" s="54"/>
    </row>
    <row r="30" spans="2:18" ht="9">
      <c r="B30" s="52"/>
      <c r="C30" s="65"/>
      <c r="D30" s="58" t="s">
        <v>216</v>
      </c>
      <c r="E30" s="32" t="s">
        <v>47</v>
      </c>
      <c r="F30" s="32">
        <f>F26</f>
        <v>910</v>
      </c>
      <c r="G30" s="39"/>
      <c r="H30" s="39"/>
      <c r="I30" s="39">
        <f>ROUND(H30*G30,2)</f>
        <v>0</v>
      </c>
      <c r="J30" s="39">
        <v>0.4</v>
      </c>
      <c r="K30" s="39">
        <f>0.09*I30</f>
        <v>0</v>
      </c>
      <c r="L30" s="39">
        <f>SUM(I30:K30)</f>
        <v>0.4</v>
      </c>
      <c r="M30" s="39">
        <f>ROUND(F30*G30,2)</f>
        <v>0</v>
      </c>
      <c r="N30" s="39">
        <f>ROUND(F30*I30,2)</f>
        <v>0</v>
      </c>
      <c r="O30" s="39">
        <f>ROUND(F30*J30,2)</f>
        <v>364</v>
      </c>
      <c r="P30" s="39">
        <f>ROUND(F30*K30,2)</f>
        <v>0</v>
      </c>
      <c r="Q30" s="39">
        <f>SUM(N30:P30)</f>
        <v>364</v>
      </c>
      <c r="R30" s="54"/>
    </row>
    <row r="31" spans="2:18" ht="18.75">
      <c r="B31" s="52"/>
      <c r="C31" s="65"/>
      <c r="D31" s="58" t="s">
        <v>218</v>
      </c>
      <c r="E31" s="101" t="s">
        <v>48</v>
      </c>
      <c r="F31" s="32">
        <v>162</v>
      </c>
      <c r="G31" s="39"/>
      <c r="H31" s="39"/>
      <c r="I31" s="39">
        <f>ROUND(H31*G31,2)</f>
        <v>0</v>
      </c>
      <c r="J31" s="39">
        <v>4.5</v>
      </c>
      <c r="K31" s="39">
        <f>0.09*I31</f>
        <v>0</v>
      </c>
      <c r="L31" s="39">
        <f>SUM(I31:K31)</f>
        <v>4.5</v>
      </c>
      <c r="M31" s="39">
        <f t="shared" si="7"/>
        <v>0</v>
      </c>
      <c r="N31" s="39">
        <f t="shared" si="8"/>
        <v>0</v>
      </c>
      <c r="O31" s="39">
        <f t="shared" si="9"/>
        <v>729</v>
      </c>
      <c r="P31" s="39">
        <f t="shared" si="10"/>
        <v>0</v>
      </c>
      <c r="Q31" s="39">
        <f t="shared" si="11"/>
        <v>729</v>
      </c>
      <c r="R31" s="54"/>
    </row>
    <row r="32" spans="2:18" ht="9">
      <c r="B32" s="52">
        <v>4</v>
      </c>
      <c r="C32" s="52"/>
      <c r="D32" s="107" t="s">
        <v>200</v>
      </c>
      <c r="E32" s="60" t="s">
        <v>98</v>
      </c>
      <c r="F32" s="67">
        <v>4</v>
      </c>
      <c r="G32" s="79">
        <v>15</v>
      </c>
      <c r="H32" s="79">
        <v>8.5</v>
      </c>
      <c r="I32" s="79">
        <f t="shared" si="12"/>
        <v>127.5</v>
      </c>
      <c r="J32" s="79"/>
      <c r="K32" s="108">
        <f aca="true" t="shared" si="14" ref="K32:K46">0.09*I32</f>
        <v>11.475</v>
      </c>
      <c r="L32" s="79">
        <f t="shared" si="13"/>
        <v>138.975</v>
      </c>
      <c r="M32" s="79">
        <f aca="true" t="shared" si="15" ref="M32:M42">F32*G32</f>
        <v>60</v>
      </c>
      <c r="N32" s="79">
        <f aca="true" t="shared" si="16" ref="N32:N42">F32*I32</f>
        <v>510</v>
      </c>
      <c r="O32" s="79">
        <f aca="true" t="shared" si="17" ref="O32:O42">J32*F32</f>
        <v>0</v>
      </c>
      <c r="P32" s="79">
        <f aca="true" t="shared" si="18" ref="P32:P42">K32*F32</f>
        <v>45.9</v>
      </c>
      <c r="Q32" s="75">
        <f t="shared" si="11"/>
        <v>555.9</v>
      </c>
      <c r="R32" s="54"/>
    </row>
    <row r="33" spans="2:18" ht="18.75">
      <c r="B33" s="52"/>
      <c r="C33" s="52"/>
      <c r="D33" s="35" t="s">
        <v>151</v>
      </c>
      <c r="E33" s="52" t="s">
        <v>98</v>
      </c>
      <c r="F33" s="34">
        <f>F32</f>
        <v>4</v>
      </c>
      <c r="G33" s="75"/>
      <c r="H33" s="75"/>
      <c r="I33" s="75">
        <f t="shared" si="12"/>
        <v>0</v>
      </c>
      <c r="J33" s="75">
        <v>350</v>
      </c>
      <c r="K33" s="75">
        <f t="shared" si="14"/>
        <v>0</v>
      </c>
      <c r="L33" s="75">
        <f t="shared" si="13"/>
        <v>350</v>
      </c>
      <c r="M33" s="75">
        <f t="shared" si="15"/>
        <v>0</v>
      </c>
      <c r="N33" s="75">
        <f t="shared" si="16"/>
        <v>0</v>
      </c>
      <c r="O33" s="75">
        <f t="shared" si="17"/>
        <v>1400</v>
      </c>
      <c r="P33" s="75">
        <f t="shared" si="18"/>
        <v>0</v>
      </c>
      <c r="Q33" s="75">
        <f t="shared" si="11"/>
        <v>1400</v>
      </c>
      <c r="R33" s="54"/>
    </row>
    <row r="34" spans="2:18" ht="28.5">
      <c r="B34" s="52">
        <v>5</v>
      </c>
      <c r="C34" s="52"/>
      <c r="D34" s="30" t="s">
        <v>159</v>
      </c>
      <c r="E34" s="52" t="s">
        <v>152</v>
      </c>
      <c r="F34" s="34">
        <f>F32</f>
        <v>4</v>
      </c>
      <c r="G34" s="79">
        <v>6</v>
      </c>
      <c r="H34" s="79">
        <v>8.5</v>
      </c>
      <c r="I34" s="79">
        <f aca="true" t="shared" si="19" ref="I34:I42">ROUND(H34*G34,2)</f>
        <v>51</v>
      </c>
      <c r="J34" s="79">
        <v>25</v>
      </c>
      <c r="K34" s="79">
        <f t="shared" si="14"/>
        <v>4.59</v>
      </c>
      <c r="L34" s="79">
        <f aca="true" t="shared" si="20" ref="L34:L42">SUM(I34:K34)</f>
        <v>80.59</v>
      </c>
      <c r="M34" s="79">
        <f t="shared" si="15"/>
        <v>24</v>
      </c>
      <c r="N34" s="79">
        <f t="shared" si="16"/>
        <v>204</v>
      </c>
      <c r="O34" s="79">
        <f t="shared" si="17"/>
        <v>100</v>
      </c>
      <c r="P34" s="79">
        <f t="shared" si="18"/>
        <v>18.36</v>
      </c>
      <c r="Q34" s="75">
        <f t="shared" si="11"/>
        <v>322.36</v>
      </c>
      <c r="R34" s="54"/>
    </row>
    <row r="35" spans="2:18" ht="18.75">
      <c r="B35" s="52">
        <v>6</v>
      </c>
      <c r="C35" s="52"/>
      <c r="D35" s="30" t="s">
        <v>155</v>
      </c>
      <c r="E35" s="52" t="s">
        <v>49</v>
      </c>
      <c r="F35" s="34">
        <v>216</v>
      </c>
      <c r="G35" s="75">
        <v>0.8</v>
      </c>
      <c r="H35" s="75">
        <v>8.5</v>
      </c>
      <c r="I35" s="75">
        <f t="shared" si="19"/>
        <v>6.8</v>
      </c>
      <c r="J35" s="75"/>
      <c r="K35" s="75">
        <f t="shared" si="14"/>
        <v>0.612</v>
      </c>
      <c r="L35" s="75">
        <f t="shared" si="20"/>
        <v>7.412</v>
      </c>
      <c r="M35" s="75">
        <f t="shared" si="15"/>
        <v>172.8</v>
      </c>
      <c r="N35" s="75">
        <f t="shared" si="16"/>
        <v>1468.8</v>
      </c>
      <c r="O35" s="75">
        <f t="shared" si="17"/>
        <v>0</v>
      </c>
      <c r="P35" s="75">
        <f t="shared" si="18"/>
        <v>132.192</v>
      </c>
      <c r="Q35" s="75">
        <f t="shared" si="11"/>
        <v>1600.992</v>
      </c>
      <c r="R35" s="54"/>
    </row>
    <row r="36" spans="2:18" ht="18.75">
      <c r="B36" s="52"/>
      <c r="C36" s="52"/>
      <c r="D36" s="35" t="s">
        <v>153</v>
      </c>
      <c r="E36" s="52" t="s">
        <v>49</v>
      </c>
      <c r="F36" s="34">
        <f>F35</f>
        <v>216</v>
      </c>
      <c r="G36" s="75"/>
      <c r="H36" s="75"/>
      <c r="I36" s="75">
        <f t="shared" si="19"/>
        <v>0</v>
      </c>
      <c r="J36" s="75">
        <v>8.8</v>
      </c>
      <c r="K36" s="75">
        <f t="shared" si="14"/>
        <v>0</v>
      </c>
      <c r="L36" s="75">
        <f t="shared" si="20"/>
        <v>8.8</v>
      </c>
      <c r="M36" s="75">
        <f t="shared" si="15"/>
        <v>0</v>
      </c>
      <c r="N36" s="75">
        <f t="shared" si="16"/>
        <v>0</v>
      </c>
      <c r="O36" s="75">
        <f t="shared" si="17"/>
        <v>1900.8000000000002</v>
      </c>
      <c r="P36" s="75">
        <f t="shared" si="18"/>
        <v>0</v>
      </c>
      <c r="Q36" s="75">
        <f t="shared" si="11"/>
        <v>1900.8000000000002</v>
      </c>
      <c r="R36" s="54"/>
    </row>
    <row r="37" spans="2:18" ht="18.75">
      <c r="B37" s="52">
        <v>7</v>
      </c>
      <c r="C37" s="52"/>
      <c r="D37" s="30" t="s">
        <v>174</v>
      </c>
      <c r="E37" s="52" t="s">
        <v>49</v>
      </c>
      <c r="F37" s="34">
        <v>51.2</v>
      </c>
      <c r="G37" s="75">
        <v>1.2</v>
      </c>
      <c r="H37" s="75">
        <v>8.5</v>
      </c>
      <c r="I37" s="75">
        <f t="shared" si="19"/>
        <v>10.2</v>
      </c>
      <c r="J37" s="75"/>
      <c r="K37" s="75">
        <f t="shared" si="14"/>
        <v>0.9179999999999999</v>
      </c>
      <c r="L37" s="75">
        <f t="shared" si="20"/>
        <v>11.117999999999999</v>
      </c>
      <c r="M37" s="75">
        <f t="shared" si="15"/>
        <v>61.44</v>
      </c>
      <c r="N37" s="75">
        <f t="shared" si="16"/>
        <v>522.24</v>
      </c>
      <c r="O37" s="75">
        <f t="shared" si="17"/>
        <v>0</v>
      </c>
      <c r="P37" s="75">
        <f t="shared" si="18"/>
        <v>47.001599999999996</v>
      </c>
      <c r="Q37" s="75">
        <f t="shared" si="11"/>
        <v>569.2416000000001</v>
      </c>
      <c r="R37" s="54"/>
    </row>
    <row r="38" spans="2:18" ht="18.75">
      <c r="B38" s="52"/>
      <c r="C38" s="52"/>
      <c r="D38" s="35" t="s">
        <v>175</v>
      </c>
      <c r="E38" s="52" t="s">
        <v>49</v>
      </c>
      <c r="F38" s="34">
        <f>F37*1.1</f>
        <v>56.32000000000001</v>
      </c>
      <c r="G38" s="75"/>
      <c r="H38" s="75"/>
      <c r="I38" s="75">
        <f t="shared" si="19"/>
        <v>0</v>
      </c>
      <c r="J38" s="75">
        <v>12.4</v>
      </c>
      <c r="K38" s="75">
        <f t="shared" si="14"/>
        <v>0</v>
      </c>
      <c r="L38" s="75">
        <f t="shared" si="20"/>
        <v>12.4</v>
      </c>
      <c r="M38" s="75">
        <f t="shared" si="15"/>
        <v>0</v>
      </c>
      <c r="N38" s="75">
        <f t="shared" si="16"/>
        <v>0</v>
      </c>
      <c r="O38" s="75">
        <f t="shared" si="17"/>
        <v>698.3680000000002</v>
      </c>
      <c r="P38" s="75">
        <f t="shared" si="18"/>
        <v>0</v>
      </c>
      <c r="Q38" s="75">
        <f t="shared" si="11"/>
        <v>698.3680000000002</v>
      </c>
      <c r="R38" s="54"/>
    </row>
    <row r="39" spans="2:18" ht="18.75">
      <c r="B39" s="52"/>
      <c r="C39" s="52"/>
      <c r="D39" s="35" t="s">
        <v>177</v>
      </c>
      <c r="E39" s="52" t="s">
        <v>98</v>
      </c>
      <c r="F39" s="34">
        <f>ROUND(F37/0.6,0)</f>
        <v>85</v>
      </c>
      <c r="G39" s="75"/>
      <c r="H39" s="75"/>
      <c r="I39" s="75">
        <f t="shared" si="19"/>
        <v>0</v>
      </c>
      <c r="J39" s="75">
        <v>10.5</v>
      </c>
      <c r="K39" s="75">
        <f t="shared" si="14"/>
        <v>0</v>
      </c>
      <c r="L39" s="75">
        <f t="shared" si="20"/>
        <v>10.5</v>
      </c>
      <c r="M39" s="75">
        <f t="shared" si="15"/>
        <v>0</v>
      </c>
      <c r="N39" s="75">
        <f t="shared" si="16"/>
        <v>0</v>
      </c>
      <c r="O39" s="75">
        <f t="shared" si="17"/>
        <v>892.5</v>
      </c>
      <c r="P39" s="75">
        <f t="shared" si="18"/>
        <v>0</v>
      </c>
      <c r="Q39" s="75">
        <f t="shared" si="11"/>
        <v>892.5</v>
      </c>
      <c r="R39" s="54"/>
    </row>
    <row r="40" spans="2:18" ht="18.75">
      <c r="B40" s="52"/>
      <c r="C40" s="52"/>
      <c r="D40" s="30" t="s">
        <v>154</v>
      </c>
      <c r="E40" s="52" t="s">
        <v>49</v>
      </c>
      <c r="F40" s="34">
        <v>12.8</v>
      </c>
      <c r="G40" s="75">
        <v>1.2</v>
      </c>
      <c r="H40" s="75">
        <v>8.5</v>
      </c>
      <c r="I40" s="75">
        <f t="shared" si="19"/>
        <v>10.2</v>
      </c>
      <c r="J40" s="75"/>
      <c r="K40" s="75">
        <f t="shared" si="14"/>
        <v>0.9179999999999999</v>
      </c>
      <c r="L40" s="75">
        <f t="shared" si="20"/>
        <v>11.117999999999999</v>
      </c>
      <c r="M40" s="75">
        <f t="shared" si="15"/>
        <v>15.36</v>
      </c>
      <c r="N40" s="75">
        <f t="shared" si="16"/>
        <v>130.56</v>
      </c>
      <c r="O40" s="75">
        <f t="shared" si="17"/>
        <v>0</v>
      </c>
      <c r="P40" s="75">
        <f t="shared" si="18"/>
        <v>11.750399999999999</v>
      </c>
      <c r="Q40" s="75">
        <f t="shared" si="11"/>
        <v>142.31040000000002</v>
      </c>
      <c r="R40" s="54"/>
    </row>
    <row r="41" spans="2:18" ht="18.75">
      <c r="B41" s="52"/>
      <c r="C41" s="52"/>
      <c r="D41" s="35" t="s">
        <v>175</v>
      </c>
      <c r="E41" s="52" t="s">
        <v>98</v>
      </c>
      <c r="F41" s="34">
        <f>ROUND(F40/0.6,0)</f>
        <v>21</v>
      </c>
      <c r="G41" s="75"/>
      <c r="H41" s="75"/>
      <c r="I41" s="75">
        <f t="shared" si="19"/>
        <v>0</v>
      </c>
      <c r="J41" s="75">
        <v>12.4</v>
      </c>
      <c r="K41" s="75">
        <f t="shared" si="14"/>
        <v>0</v>
      </c>
      <c r="L41" s="75">
        <f t="shared" si="20"/>
        <v>12.4</v>
      </c>
      <c r="M41" s="75">
        <f t="shared" si="15"/>
        <v>0</v>
      </c>
      <c r="N41" s="75">
        <f t="shared" si="16"/>
        <v>0</v>
      </c>
      <c r="O41" s="75">
        <f t="shared" si="17"/>
        <v>260.40000000000003</v>
      </c>
      <c r="P41" s="75">
        <f t="shared" si="18"/>
        <v>0</v>
      </c>
      <c r="Q41" s="75">
        <f t="shared" si="11"/>
        <v>260.40000000000003</v>
      </c>
      <c r="R41" s="54"/>
    </row>
    <row r="42" spans="2:18" ht="18.75">
      <c r="B42" s="52"/>
      <c r="C42" s="52"/>
      <c r="D42" s="35" t="s">
        <v>177</v>
      </c>
      <c r="E42" s="52" t="s">
        <v>49</v>
      </c>
      <c r="F42" s="34">
        <f>F40</f>
        <v>12.8</v>
      </c>
      <c r="G42" s="75"/>
      <c r="H42" s="75"/>
      <c r="I42" s="75">
        <f t="shared" si="19"/>
        <v>0</v>
      </c>
      <c r="J42" s="75">
        <v>10.5</v>
      </c>
      <c r="K42" s="75">
        <f t="shared" si="14"/>
        <v>0</v>
      </c>
      <c r="L42" s="75">
        <f t="shared" si="20"/>
        <v>10.5</v>
      </c>
      <c r="M42" s="75">
        <f t="shared" si="15"/>
        <v>0</v>
      </c>
      <c r="N42" s="75">
        <f t="shared" si="16"/>
        <v>0</v>
      </c>
      <c r="O42" s="75">
        <f t="shared" si="17"/>
        <v>134.4</v>
      </c>
      <c r="P42" s="75">
        <f t="shared" si="18"/>
        <v>0</v>
      </c>
      <c r="Q42" s="75">
        <f t="shared" si="11"/>
        <v>134.4</v>
      </c>
      <c r="R42" s="54"/>
    </row>
    <row r="43" spans="2:18" ht="28.5">
      <c r="B43" s="52">
        <v>8</v>
      </c>
      <c r="C43" s="52"/>
      <c r="D43" s="30" t="s">
        <v>197</v>
      </c>
      <c r="E43" s="52" t="s">
        <v>99</v>
      </c>
      <c r="F43" s="34">
        <v>25</v>
      </c>
      <c r="G43" s="75">
        <v>4</v>
      </c>
      <c r="H43" s="75">
        <v>8.5</v>
      </c>
      <c r="I43" s="75">
        <f>H43*G43</f>
        <v>34</v>
      </c>
      <c r="J43" s="75">
        <v>65</v>
      </c>
      <c r="K43" s="77">
        <f t="shared" si="14"/>
        <v>3.06</v>
      </c>
      <c r="L43" s="75">
        <f aca="true" t="shared" si="21" ref="L43:L49">SUM(I43:K43)</f>
        <v>102.06</v>
      </c>
      <c r="M43" s="75">
        <f aca="true" t="shared" si="22" ref="M43:M49">F43*G43</f>
        <v>100</v>
      </c>
      <c r="N43" s="75">
        <f aca="true" t="shared" si="23" ref="N43:N49">F43*I43</f>
        <v>850</v>
      </c>
      <c r="O43" s="75">
        <f aca="true" t="shared" si="24" ref="O43:O49">J43*F43</f>
        <v>1625</v>
      </c>
      <c r="P43" s="75">
        <f aca="true" t="shared" si="25" ref="P43:P49">K43*F43</f>
        <v>76.5</v>
      </c>
      <c r="Q43" s="75">
        <f aca="true" t="shared" si="26" ref="Q43:Q49">SUM(N43:P43)</f>
        <v>2551.5</v>
      </c>
      <c r="R43" s="54"/>
    </row>
    <row r="44" spans="2:18" ht="28.5">
      <c r="B44" s="52">
        <v>9</v>
      </c>
      <c r="C44" s="52"/>
      <c r="D44" s="30" t="s">
        <v>198</v>
      </c>
      <c r="E44" s="52" t="s">
        <v>99</v>
      </c>
      <c r="F44" s="34">
        <v>5</v>
      </c>
      <c r="G44" s="75">
        <v>4</v>
      </c>
      <c r="H44" s="75">
        <v>8.5</v>
      </c>
      <c r="I44" s="75">
        <f>H44*G44</f>
        <v>34</v>
      </c>
      <c r="J44" s="75">
        <v>65</v>
      </c>
      <c r="K44" s="77">
        <f t="shared" si="14"/>
        <v>3.06</v>
      </c>
      <c r="L44" s="75">
        <f>SUM(I44:K44)</f>
        <v>102.06</v>
      </c>
      <c r="M44" s="75">
        <f>F44*G44</f>
        <v>20</v>
      </c>
      <c r="N44" s="75">
        <f>F44*I44</f>
        <v>170</v>
      </c>
      <c r="O44" s="75">
        <f>J44*F44</f>
        <v>325</v>
      </c>
      <c r="P44" s="75">
        <f>K44*F44</f>
        <v>15.3</v>
      </c>
      <c r="Q44" s="75">
        <f>SUM(N44:P44)</f>
        <v>510.3</v>
      </c>
      <c r="R44" s="54"/>
    </row>
    <row r="45" spans="2:18" ht="18.75">
      <c r="B45" s="52">
        <v>10</v>
      </c>
      <c r="C45" s="52"/>
      <c r="D45" s="30" t="s">
        <v>180</v>
      </c>
      <c r="E45" s="52" t="s">
        <v>98</v>
      </c>
      <c r="F45" s="34">
        <v>15</v>
      </c>
      <c r="G45" s="75">
        <v>2</v>
      </c>
      <c r="H45" s="75">
        <v>8.5</v>
      </c>
      <c r="I45" s="75">
        <f>ROUND(H45*G45,2)</f>
        <v>17</v>
      </c>
      <c r="J45" s="75">
        <v>32.4</v>
      </c>
      <c r="K45" s="75">
        <f t="shared" si="14"/>
        <v>1.53</v>
      </c>
      <c r="L45" s="75">
        <f t="shared" si="21"/>
        <v>50.93</v>
      </c>
      <c r="M45" s="75">
        <f t="shared" si="22"/>
        <v>30</v>
      </c>
      <c r="N45" s="75">
        <f t="shared" si="23"/>
        <v>255</v>
      </c>
      <c r="O45" s="75">
        <f t="shared" si="24"/>
        <v>486</v>
      </c>
      <c r="P45" s="75">
        <f t="shared" si="25"/>
        <v>22.95</v>
      </c>
      <c r="Q45" s="75">
        <f t="shared" si="26"/>
        <v>763.95</v>
      </c>
      <c r="R45" s="54"/>
    </row>
    <row r="46" spans="2:18" ht="9">
      <c r="B46" s="52">
        <v>11</v>
      </c>
      <c r="C46" s="52"/>
      <c r="D46" s="30" t="s">
        <v>196</v>
      </c>
      <c r="E46" s="52" t="s">
        <v>99</v>
      </c>
      <c r="F46" s="34">
        <v>25</v>
      </c>
      <c r="G46" s="75">
        <v>5</v>
      </c>
      <c r="H46" s="75">
        <v>8.5</v>
      </c>
      <c r="I46" s="75">
        <f>ROUND(H46*G46,2)</f>
        <v>42.5</v>
      </c>
      <c r="J46" s="75">
        <v>5</v>
      </c>
      <c r="K46" s="75">
        <f t="shared" si="14"/>
        <v>3.8249999999999997</v>
      </c>
      <c r="L46" s="75">
        <f>SUM(I46:K46)</f>
        <v>51.325</v>
      </c>
      <c r="M46" s="75">
        <f>F46*G46</f>
        <v>125</v>
      </c>
      <c r="N46" s="75">
        <f>F46*I46</f>
        <v>1062.5</v>
      </c>
      <c r="O46" s="75">
        <f>J46*F46</f>
        <v>125</v>
      </c>
      <c r="P46" s="75">
        <f>K46*F46</f>
        <v>95.625</v>
      </c>
      <c r="Q46" s="75">
        <f>SUM(N46:P46)</f>
        <v>1283.125</v>
      </c>
      <c r="R46" s="54"/>
    </row>
    <row r="47" spans="2:18" ht="9">
      <c r="B47" s="52"/>
      <c r="C47" s="52"/>
      <c r="D47" s="30"/>
      <c r="E47" s="52"/>
      <c r="F47" s="34"/>
      <c r="G47" s="75"/>
      <c r="H47" s="75"/>
      <c r="I47" s="75"/>
      <c r="J47" s="75"/>
      <c r="K47" s="75"/>
      <c r="L47" s="75">
        <f t="shared" si="21"/>
        <v>0</v>
      </c>
      <c r="M47" s="75">
        <f t="shared" si="22"/>
        <v>0</v>
      </c>
      <c r="N47" s="75">
        <f t="shared" si="23"/>
        <v>0</v>
      </c>
      <c r="O47" s="75">
        <f t="shared" si="24"/>
        <v>0</v>
      </c>
      <c r="P47" s="75">
        <f t="shared" si="25"/>
        <v>0</v>
      </c>
      <c r="Q47" s="75">
        <f t="shared" si="26"/>
        <v>0</v>
      </c>
      <c r="R47" s="54"/>
    </row>
    <row r="48" spans="2:18" ht="9">
      <c r="B48" s="52"/>
      <c r="C48" s="52"/>
      <c r="D48" s="40" t="s">
        <v>160</v>
      </c>
      <c r="E48" s="52"/>
      <c r="F48" s="34"/>
      <c r="G48" s="75"/>
      <c r="H48" s="75"/>
      <c r="I48" s="75"/>
      <c r="J48" s="75"/>
      <c r="K48" s="75"/>
      <c r="L48" s="75">
        <f t="shared" si="21"/>
        <v>0</v>
      </c>
      <c r="M48" s="75">
        <f t="shared" si="22"/>
        <v>0</v>
      </c>
      <c r="N48" s="75">
        <f t="shared" si="23"/>
        <v>0</v>
      </c>
      <c r="O48" s="75">
        <f t="shared" si="24"/>
        <v>0</v>
      </c>
      <c r="P48" s="75">
        <f t="shared" si="25"/>
        <v>0</v>
      </c>
      <c r="Q48" s="75">
        <f t="shared" si="26"/>
        <v>0</v>
      </c>
      <c r="R48" s="54"/>
    </row>
    <row r="49" spans="2:18" ht="18.75">
      <c r="B49" s="57">
        <v>1</v>
      </c>
      <c r="C49" s="57"/>
      <c r="D49" s="30" t="s">
        <v>163</v>
      </c>
      <c r="E49" s="52" t="s">
        <v>47</v>
      </c>
      <c r="F49" s="103">
        <f>F16</f>
        <v>21.61</v>
      </c>
      <c r="G49" s="104">
        <v>0.25</v>
      </c>
      <c r="H49" s="76">
        <v>8.5</v>
      </c>
      <c r="I49" s="104">
        <f>ROUND(H49*G49,2)</f>
        <v>2.13</v>
      </c>
      <c r="J49" s="104">
        <v>2.2</v>
      </c>
      <c r="K49" s="104">
        <v>6.25</v>
      </c>
      <c r="L49" s="75">
        <f t="shared" si="21"/>
        <v>10.58</v>
      </c>
      <c r="M49" s="75">
        <f t="shared" si="22"/>
        <v>5.4025</v>
      </c>
      <c r="N49" s="75">
        <f t="shared" si="23"/>
        <v>46.0293</v>
      </c>
      <c r="O49" s="75">
        <f t="shared" si="24"/>
        <v>47.542</v>
      </c>
      <c r="P49" s="75">
        <f t="shared" si="25"/>
        <v>135.0625</v>
      </c>
      <c r="Q49" s="75">
        <f t="shared" si="26"/>
        <v>228.6338</v>
      </c>
      <c r="R49" s="61"/>
    </row>
    <row r="50" spans="2:18" ht="9">
      <c r="B50" s="57">
        <v>2</v>
      </c>
      <c r="C50" s="57"/>
      <c r="D50" s="30" t="s">
        <v>164</v>
      </c>
      <c r="E50" s="52" t="s">
        <v>47</v>
      </c>
      <c r="F50" s="34">
        <f>F49*1.2</f>
        <v>25.932</v>
      </c>
      <c r="G50" s="75">
        <v>0.03</v>
      </c>
      <c r="H50" s="75">
        <v>8.5</v>
      </c>
      <c r="I50" s="75">
        <f>ROUND(H50*G50,2)</f>
        <v>0.26</v>
      </c>
      <c r="J50" s="75">
        <v>0.65</v>
      </c>
      <c r="K50" s="77">
        <f aca="true" t="shared" si="27" ref="K50:K69">0.09*I50</f>
        <v>0.0234</v>
      </c>
      <c r="L50" s="75">
        <f aca="true" t="shared" si="28" ref="L50:L72">SUM(I50:K50)</f>
        <v>0.9334</v>
      </c>
      <c r="M50" s="75">
        <f aca="true" t="shared" si="29" ref="M50:M59">F50*G50</f>
        <v>0.77796</v>
      </c>
      <c r="N50" s="75">
        <f aca="true" t="shared" si="30" ref="N50:N59">F50*I50</f>
        <v>6.742319999999999</v>
      </c>
      <c r="O50" s="75">
        <f aca="true" t="shared" si="31" ref="O50:O59">J50*F50</f>
        <v>16.8558</v>
      </c>
      <c r="P50" s="75">
        <f aca="true" t="shared" si="32" ref="P50:P59">K50*F50</f>
        <v>0.6068088</v>
      </c>
      <c r="Q50" s="75">
        <f aca="true" t="shared" si="33" ref="Q50:Q72">SUM(N50:P50)</f>
        <v>24.204928799999998</v>
      </c>
      <c r="R50" s="61"/>
    </row>
    <row r="51" spans="2:18" ht="18.75">
      <c r="B51" s="57">
        <v>3</v>
      </c>
      <c r="C51" s="57"/>
      <c r="D51" s="30" t="s">
        <v>183</v>
      </c>
      <c r="E51" s="52" t="s">
        <v>47</v>
      </c>
      <c r="F51" s="34">
        <f>F49</f>
        <v>21.61</v>
      </c>
      <c r="G51" s="75">
        <v>0.4</v>
      </c>
      <c r="H51" s="75">
        <v>8.5</v>
      </c>
      <c r="I51" s="75">
        <f aca="true" t="shared" si="34" ref="I51:I68">ROUND(H51*G51,2)</f>
        <v>3.4</v>
      </c>
      <c r="J51" s="75">
        <v>4.5</v>
      </c>
      <c r="K51" s="75">
        <f t="shared" si="27"/>
        <v>0.306</v>
      </c>
      <c r="L51" s="75">
        <f t="shared" si="28"/>
        <v>8.206</v>
      </c>
      <c r="M51" s="75">
        <f t="shared" si="29"/>
        <v>8.644</v>
      </c>
      <c r="N51" s="75">
        <f t="shared" si="30"/>
        <v>73.47399999999999</v>
      </c>
      <c r="O51" s="75">
        <f t="shared" si="31"/>
        <v>97.245</v>
      </c>
      <c r="P51" s="75">
        <f t="shared" si="32"/>
        <v>6.61266</v>
      </c>
      <c r="Q51" s="75">
        <f t="shared" si="33"/>
        <v>177.33166</v>
      </c>
      <c r="R51" s="61"/>
    </row>
    <row r="52" spans="2:18" ht="9">
      <c r="B52" s="57">
        <v>4</v>
      </c>
      <c r="C52" s="57"/>
      <c r="D52" s="30" t="s">
        <v>167</v>
      </c>
      <c r="E52" s="52" t="s">
        <v>47</v>
      </c>
      <c r="F52" s="34">
        <f>F49</f>
        <v>21.61</v>
      </c>
      <c r="G52" s="75">
        <v>1.2</v>
      </c>
      <c r="H52" s="75">
        <v>8.5</v>
      </c>
      <c r="I52" s="75">
        <f t="shared" si="34"/>
        <v>10.2</v>
      </c>
      <c r="J52" s="75"/>
      <c r="K52" s="75">
        <f t="shared" si="27"/>
        <v>0.9179999999999999</v>
      </c>
      <c r="L52" s="75">
        <f t="shared" si="28"/>
        <v>11.117999999999999</v>
      </c>
      <c r="M52" s="75">
        <f t="shared" si="29"/>
        <v>25.932</v>
      </c>
      <c r="N52" s="75">
        <f t="shared" si="30"/>
        <v>220.42199999999997</v>
      </c>
      <c r="O52" s="75">
        <f t="shared" si="31"/>
        <v>0</v>
      </c>
      <c r="P52" s="75">
        <f t="shared" si="32"/>
        <v>19.837979999999998</v>
      </c>
      <c r="Q52" s="75">
        <f t="shared" si="33"/>
        <v>240.25997999999996</v>
      </c>
      <c r="R52" s="61"/>
    </row>
    <row r="53" spans="2:18" ht="18.75">
      <c r="B53" s="57"/>
      <c r="C53" s="57"/>
      <c r="D53" s="35" t="s">
        <v>165</v>
      </c>
      <c r="E53" s="52" t="s">
        <v>47</v>
      </c>
      <c r="F53" s="34">
        <f>F52*1.2</f>
        <v>25.932</v>
      </c>
      <c r="G53" s="75"/>
      <c r="H53" s="75"/>
      <c r="I53" s="75">
        <f t="shared" si="34"/>
        <v>0</v>
      </c>
      <c r="J53" s="75">
        <v>14.8</v>
      </c>
      <c r="K53" s="75">
        <f t="shared" si="27"/>
        <v>0</v>
      </c>
      <c r="L53" s="75">
        <f t="shared" si="28"/>
        <v>14.8</v>
      </c>
      <c r="M53" s="75">
        <f t="shared" si="29"/>
        <v>0</v>
      </c>
      <c r="N53" s="75">
        <f t="shared" si="30"/>
        <v>0</v>
      </c>
      <c r="O53" s="75">
        <f t="shared" si="31"/>
        <v>383.79359999999997</v>
      </c>
      <c r="P53" s="75">
        <f t="shared" si="32"/>
        <v>0</v>
      </c>
      <c r="Q53" s="75">
        <f t="shared" si="33"/>
        <v>383.79359999999997</v>
      </c>
      <c r="R53" s="61"/>
    </row>
    <row r="54" spans="2:18" ht="9">
      <c r="B54" s="57"/>
      <c r="C54" s="57"/>
      <c r="D54" s="35" t="s">
        <v>166</v>
      </c>
      <c r="E54" s="52" t="s">
        <v>47</v>
      </c>
      <c r="F54" s="34">
        <f>F53</f>
        <v>25.932</v>
      </c>
      <c r="G54" s="75"/>
      <c r="H54" s="75"/>
      <c r="I54" s="75">
        <f t="shared" si="34"/>
        <v>0</v>
      </c>
      <c r="J54" s="75">
        <v>5.1</v>
      </c>
      <c r="K54" s="75">
        <f t="shared" si="27"/>
        <v>0</v>
      </c>
      <c r="L54" s="75">
        <f t="shared" si="28"/>
        <v>5.1</v>
      </c>
      <c r="M54" s="75">
        <f t="shared" si="29"/>
        <v>0</v>
      </c>
      <c r="N54" s="75">
        <f t="shared" si="30"/>
        <v>0</v>
      </c>
      <c r="O54" s="75">
        <f t="shared" si="31"/>
        <v>132.2532</v>
      </c>
      <c r="P54" s="75">
        <f t="shared" si="32"/>
        <v>0</v>
      </c>
      <c r="Q54" s="75">
        <f t="shared" si="33"/>
        <v>132.2532</v>
      </c>
      <c r="R54" s="61"/>
    </row>
    <row r="55" spans="2:18" ht="9">
      <c r="B55" s="57"/>
      <c r="C55" s="57"/>
      <c r="D55" s="35" t="s">
        <v>110</v>
      </c>
      <c r="E55" s="52" t="s">
        <v>48</v>
      </c>
      <c r="F55" s="34">
        <v>13.5</v>
      </c>
      <c r="G55" s="75">
        <v>0</v>
      </c>
      <c r="H55" s="75">
        <v>0</v>
      </c>
      <c r="I55" s="75">
        <f t="shared" si="34"/>
        <v>0</v>
      </c>
      <c r="J55" s="75">
        <v>3.5</v>
      </c>
      <c r="K55" s="75">
        <f t="shared" si="27"/>
        <v>0</v>
      </c>
      <c r="L55" s="75">
        <f t="shared" si="28"/>
        <v>3.5</v>
      </c>
      <c r="M55" s="75">
        <f t="shared" si="29"/>
        <v>0</v>
      </c>
      <c r="N55" s="75">
        <f t="shared" si="30"/>
        <v>0</v>
      </c>
      <c r="O55" s="75">
        <f t="shared" si="31"/>
        <v>47.25</v>
      </c>
      <c r="P55" s="75">
        <f t="shared" si="32"/>
        <v>0</v>
      </c>
      <c r="Q55" s="75">
        <f t="shared" si="33"/>
        <v>47.25</v>
      </c>
      <c r="R55" s="61"/>
    </row>
    <row r="56" spans="2:18" ht="9">
      <c r="B56" s="57"/>
      <c r="C56" s="57"/>
      <c r="D56" s="35" t="s">
        <v>190</v>
      </c>
      <c r="E56" s="52" t="s">
        <v>47</v>
      </c>
      <c r="F56" s="34">
        <f>F53</f>
        <v>25.932</v>
      </c>
      <c r="G56" s="75"/>
      <c r="H56" s="75"/>
      <c r="I56" s="75">
        <f>ROUND(H56*G56,2)</f>
        <v>0</v>
      </c>
      <c r="J56" s="75">
        <v>1.5</v>
      </c>
      <c r="K56" s="75">
        <f t="shared" si="27"/>
        <v>0</v>
      </c>
      <c r="L56" s="75">
        <f t="shared" si="28"/>
        <v>1.5</v>
      </c>
      <c r="M56" s="75">
        <f t="shared" si="29"/>
        <v>0</v>
      </c>
      <c r="N56" s="75">
        <f t="shared" si="30"/>
        <v>0</v>
      </c>
      <c r="O56" s="75">
        <f t="shared" si="31"/>
        <v>38.897999999999996</v>
      </c>
      <c r="P56" s="75">
        <f t="shared" si="32"/>
        <v>0</v>
      </c>
      <c r="Q56" s="75">
        <f t="shared" si="33"/>
        <v>38.897999999999996</v>
      </c>
      <c r="R56" s="61"/>
    </row>
    <row r="57" spans="2:18" ht="18.75">
      <c r="B57" s="57">
        <v>5</v>
      </c>
      <c r="C57" s="57"/>
      <c r="D57" s="30" t="s">
        <v>168</v>
      </c>
      <c r="E57" s="52" t="s">
        <v>48</v>
      </c>
      <c r="F57" s="34">
        <v>5.5</v>
      </c>
      <c r="G57" s="75">
        <v>1.5</v>
      </c>
      <c r="H57" s="75">
        <v>8.5</v>
      </c>
      <c r="I57" s="75">
        <f t="shared" si="34"/>
        <v>12.75</v>
      </c>
      <c r="J57" s="75">
        <v>8.5</v>
      </c>
      <c r="K57" s="75">
        <f t="shared" si="27"/>
        <v>1.1475</v>
      </c>
      <c r="L57" s="75">
        <f t="shared" si="28"/>
        <v>22.3975</v>
      </c>
      <c r="M57" s="75">
        <f t="shared" si="29"/>
        <v>8.25</v>
      </c>
      <c r="N57" s="75">
        <f t="shared" si="30"/>
        <v>70.125</v>
      </c>
      <c r="O57" s="75">
        <f t="shared" si="31"/>
        <v>46.75</v>
      </c>
      <c r="P57" s="75">
        <f t="shared" si="32"/>
        <v>6.311249999999999</v>
      </c>
      <c r="Q57" s="75">
        <f t="shared" si="33"/>
        <v>123.18625</v>
      </c>
      <c r="R57" s="61"/>
    </row>
    <row r="58" spans="2:18" ht="38.25">
      <c r="B58" s="57">
        <v>6</v>
      </c>
      <c r="C58" s="57"/>
      <c r="D58" s="30" t="s">
        <v>170</v>
      </c>
      <c r="E58" s="52" t="s">
        <v>48</v>
      </c>
      <c r="F58" s="34">
        <v>5.31</v>
      </c>
      <c r="G58" s="75">
        <v>1</v>
      </c>
      <c r="H58" s="75">
        <v>8.5</v>
      </c>
      <c r="I58" s="75">
        <f>ROUND(H58*G58,2)</f>
        <v>8.5</v>
      </c>
      <c r="J58" s="75">
        <v>11.2</v>
      </c>
      <c r="K58" s="75">
        <f t="shared" si="27"/>
        <v>0.765</v>
      </c>
      <c r="L58" s="75">
        <f t="shared" si="28"/>
        <v>20.465</v>
      </c>
      <c r="M58" s="75">
        <f t="shared" si="29"/>
        <v>5.31</v>
      </c>
      <c r="N58" s="75">
        <f t="shared" si="30"/>
        <v>45.135</v>
      </c>
      <c r="O58" s="75">
        <f t="shared" si="31"/>
        <v>59.471999999999994</v>
      </c>
      <c r="P58" s="75">
        <f t="shared" si="32"/>
        <v>4.06215</v>
      </c>
      <c r="Q58" s="75">
        <f t="shared" si="33"/>
        <v>108.66915</v>
      </c>
      <c r="R58" s="61"/>
    </row>
    <row r="59" spans="2:18" ht="28.5">
      <c r="B59" s="57">
        <v>7</v>
      </c>
      <c r="C59" s="57"/>
      <c r="D59" s="30" t="s">
        <v>173</v>
      </c>
      <c r="E59" s="52" t="s">
        <v>47</v>
      </c>
      <c r="F59" s="34">
        <f>F52</f>
        <v>21.61</v>
      </c>
      <c r="G59" s="75">
        <v>1.2</v>
      </c>
      <c r="H59" s="75">
        <v>8.5</v>
      </c>
      <c r="I59" s="75">
        <f t="shared" si="34"/>
        <v>10.2</v>
      </c>
      <c r="J59" s="75">
        <v>0</v>
      </c>
      <c r="K59" s="75">
        <f t="shared" si="27"/>
        <v>0.9179999999999999</v>
      </c>
      <c r="L59" s="75">
        <f t="shared" si="28"/>
        <v>11.117999999999999</v>
      </c>
      <c r="M59" s="75">
        <f t="shared" si="29"/>
        <v>25.932</v>
      </c>
      <c r="N59" s="75">
        <f t="shared" si="30"/>
        <v>220.42199999999997</v>
      </c>
      <c r="O59" s="75">
        <f t="shared" si="31"/>
        <v>0</v>
      </c>
      <c r="P59" s="75">
        <f t="shared" si="32"/>
        <v>19.837979999999998</v>
      </c>
      <c r="Q59" s="75">
        <f t="shared" si="33"/>
        <v>240.25997999999996</v>
      </c>
      <c r="R59" s="61"/>
    </row>
    <row r="60" spans="2:18" ht="10.5">
      <c r="B60" s="57"/>
      <c r="C60" s="57"/>
      <c r="D60" s="115" t="s">
        <v>149</v>
      </c>
      <c r="E60" s="32" t="s">
        <v>47</v>
      </c>
      <c r="F60" s="32">
        <f>ROUND(F59*1.3,2)</f>
        <v>28.09</v>
      </c>
      <c r="G60" s="39"/>
      <c r="H60" s="39"/>
      <c r="I60" s="39">
        <f t="shared" si="34"/>
        <v>0</v>
      </c>
      <c r="J60" s="39">
        <v>3.2</v>
      </c>
      <c r="K60" s="39">
        <f t="shared" si="27"/>
        <v>0</v>
      </c>
      <c r="L60" s="39">
        <f t="shared" si="28"/>
        <v>3.2</v>
      </c>
      <c r="M60" s="39">
        <f>ROUND(F60*G60,2)</f>
        <v>0</v>
      </c>
      <c r="N60" s="39">
        <f>ROUND(F60*I60,2)</f>
        <v>0</v>
      </c>
      <c r="O60" s="39">
        <f>ROUND(F60*J60,2)</f>
        <v>89.89</v>
      </c>
      <c r="P60" s="39">
        <f>ROUND(F60*K60,2)</f>
        <v>0</v>
      </c>
      <c r="Q60" s="39">
        <f t="shared" si="33"/>
        <v>89.89</v>
      </c>
      <c r="R60" s="61"/>
    </row>
    <row r="61" spans="2:18" ht="10.5">
      <c r="B61" s="57"/>
      <c r="C61" s="57"/>
      <c r="D61" s="115" t="s">
        <v>150</v>
      </c>
      <c r="E61" s="32" t="s">
        <v>47</v>
      </c>
      <c r="F61" s="32">
        <f>ROUND(F59*1.5,2)</f>
        <v>32.42</v>
      </c>
      <c r="G61" s="39"/>
      <c r="H61" s="39"/>
      <c r="I61" s="39">
        <f t="shared" si="34"/>
        <v>0</v>
      </c>
      <c r="J61" s="39">
        <v>3.9</v>
      </c>
      <c r="K61" s="39">
        <f t="shared" si="27"/>
        <v>0</v>
      </c>
      <c r="L61" s="39">
        <f t="shared" si="28"/>
        <v>3.9</v>
      </c>
      <c r="M61" s="39">
        <f>ROUND(F61*G61,2)</f>
        <v>0</v>
      </c>
      <c r="N61" s="39">
        <f>ROUND(F61*I61,2)</f>
        <v>0</v>
      </c>
      <c r="O61" s="39">
        <f>ROUND(F61*J61,2)</f>
        <v>126.44</v>
      </c>
      <c r="P61" s="39">
        <f>ROUND(F61*K61,2)</f>
        <v>0</v>
      </c>
      <c r="Q61" s="39">
        <f t="shared" si="33"/>
        <v>126.44</v>
      </c>
      <c r="R61" s="61"/>
    </row>
    <row r="62" spans="2:18" ht="18.75">
      <c r="B62" s="57"/>
      <c r="C62" s="57"/>
      <c r="D62" s="35" t="s">
        <v>172</v>
      </c>
      <c r="E62" s="52" t="s">
        <v>48</v>
      </c>
      <c r="F62" s="34">
        <v>5.5</v>
      </c>
      <c r="G62" s="75"/>
      <c r="H62" s="75"/>
      <c r="I62" s="75">
        <f t="shared" si="34"/>
        <v>0</v>
      </c>
      <c r="J62" s="75">
        <v>7.5</v>
      </c>
      <c r="K62" s="75">
        <f t="shared" si="27"/>
        <v>0</v>
      </c>
      <c r="L62" s="75">
        <f t="shared" si="28"/>
        <v>7.5</v>
      </c>
      <c r="M62" s="75">
        <f aca="true" t="shared" si="35" ref="M62:M69">F62*G62</f>
        <v>0</v>
      </c>
      <c r="N62" s="75">
        <f aca="true" t="shared" si="36" ref="N62:N69">F62*I62</f>
        <v>0</v>
      </c>
      <c r="O62" s="75">
        <f aca="true" t="shared" si="37" ref="O62:O69">J62*F62</f>
        <v>41.25</v>
      </c>
      <c r="P62" s="75">
        <f aca="true" t="shared" si="38" ref="P62:P69">K62*F62</f>
        <v>0</v>
      </c>
      <c r="Q62" s="75">
        <f t="shared" si="33"/>
        <v>41.25</v>
      </c>
      <c r="R62" s="61"/>
    </row>
    <row r="63" spans="2:18" ht="18.75">
      <c r="B63" s="57"/>
      <c r="C63" s="57"/>
      <c r="D63" s="35" t="s">
        <v>171</v>
      </c>
      <c r="E63" s="52" t="s">
        <v>48</v>
      </c>
      <c r="F63" s="34">
        <v>8.5</v>
      </c>
      <c r="G63" s="75"/>
      <c r="H63" s="75"/>
      <c r="I63" s="75">
        <f t="shared" si="34"/>
        <v>0</v>
      </c>
      <c r="J63" s="75">
        <v>7.5</v>
      </c>
      <c r="K63" s="75">
        <f t="shared" si="27"/>
        <v>0</v>
      </c>
      <c r="L63" s="75">
        <f t="shared" si="28"/>
        <v>7.5</v>
      </c>
      <c r="M63" s="75">
        <f t="shared" si="35"/>
        <v>0</v>
      </c>
      <c r="N63" s="75">
        <f t="shared" si="36"/>
        <v>0</v>
      </c>
      <c r="O63" s="75">
        <f t="shared" si="37"/>
        <v>63.75</v>
      </c>
      <c r="P63" s="75">
        <f t="shared" si="38"/>
        <v>0</v>
      </c>
      <c r="Q63" s="75">
        <f t="shared" si="33"/>
        <v>63.75</v>
      </c>
      <c r="R63" s="61"/>
    </row>
    <row r="64" spans="2:18" ht="9">
      <c r="B64" s="57"/>
      <c r="C64" s="57"/>
      <c r="D64" s="35" t="s">
        <v>141</v>
      </c>
      <c r="E64" s="52" t="s">
        <v>98</v>
      </c>
      <c r="F64" s="34">
        <v>1</v>
      </c>
      <c r="G64" s="75"/>
      <c r="H64" s="75"/>
      <c r="I64" s="75">
        <f t="shared" si="34"/>
        <v>0</v>
      </c>
      <c r="J64" s="75">
        <v>28.6</v>
      </c>
      <c r="K64" s="75">
        <f t="shared" si="27"/>
        <v>0</v>
      </c>
      <c r="L64" s="75">
        <f t="shared" si="28"/>
        <v>28.6</v>
      </c>
      <c r="M64" s="75">
        <f t="shared" si="35"/>
        <v>0</v>
      </c>
      <c r="N64" s="75">
        <f t="shared" si="36"/>
        <v>0</v>
      </c>
      <c r="O64" s="75">
        <f t="shared" si="37"/>
        <v>28.6</v>
      </c>
      <c r="P64" s="75">
        <f t="shared" si="38"/>
        <v>0</v>
      </c>
      <c r="Q64" s="75">
        <f t="shared" si="33"/>
        <v>28.6</v>
      </c>
      <c r="R64" s="61"/>
    </row>
    <row r="65" spans="2:18" ht="9">
      <c r="B65" s="57"/>
      <c r="C65" s="57"/>
      <c r="D65" s="35" t="s">
        <v>108</v>
      </c>
      <c r="E65" s="36" t="s">
        <v>109</v>
      </c>
      <c r="F65" s="34">
        <f>ROUND(F61*0.02,0)</f>
        <v>1</v>
      </c>
      <c r="G65" s="75"/>
      <c r="H65" s="75"/>
      <c r="I65" s="75">
        <f t="shared" si="34"/>
        <v>0</v>
      </c>
      <c r="J65" s="75">
        <v>36</v>
      </c>
      <c r="K65" s="77">
        <f t="shared" si="27"/>
        <v>0</v>
      </c>
      <c r="L65" s="75">
        <f t="shared" si="28"/>
        <v>36</v>
      </c>
      <c r="M65" s="75">
        <f t="shared" si="35"/>
        <v>0</v>
      </c>
      <c r="N65" s="75">
        <f t="shared" si="36"/>
        <v>0</v>
      </c>
      <c r="O65" s="75">
        <f t="shared" si="37"/>
        <v>36</v>
      </c>
      <c r="P65" s="75">
        <f t="shared" si="38"/>
        <v>0</v>
      </c>
      <c r="Q65" s="75">
        <f t="shared" si="33"/>
        <v>36</v>
      </c>
      <c r="R65" s="61"/>
    </row>
    <row r="66" spans="2:18" ht="18.75">
      <c r="B66" s="57">
        <v>8</v>
      </c>
      <c r="C66" s="57"/>
      <c r="D66" s="30" t="s">
        <v>176</v>
      </c>
      <c r="E66" s="52" t="s">
        <v>49</v>
      </c>
      <c r="F66" s="34">
        <f>F58</f>
        <v>5.31</v>
      </c>
      <c r="G66" s="75">
        <v>1.2</v>
      </c>
      <c r="H66" s="75">
        <v>8.5</v>
      </c>
      <c r="I66" s="75">
        <f t="shared" si="34"/>
        <v>10.2</v>
      </c>
      <c r="J66" s="75"/>
      <c r="K66" s="75">
        <f t="shared" si="27"/>
        <v>0.9179999999999999</v>
      </c>
      <c r="L66" s="75">
        <f t="shared" si="28"/>
        <v>11.117999999999999</v>
      </c>
      <c r="M66" s="75">
        <f t="shared" si="35"/>
        <v>6.371999999999999</v>
      </c>
      <c r="N66" s="75">
        <f t="shared" si="36"/>
        <v>54.16199999999999</v>
      </c>
      <c r="O66" s="75">
        <f t="shared" si="37"/>
        <v>0</v>
      </c>
      <c r="P66" s="75">
        <f t="shared" si="38"/>
        <v>4.874579999999999</v>
      </c>
      <c r="Q66" s="75">
        <f t="shared" si="33"/>
        <v>59.036579999999994</v>
      </c>
      <c r="R66" s="61"/>
    </row>
    <row r="67" spans="2:18" ht="18.75">
      <c r="B67" s="57"/>
      <c r="C67" s="57"/>
      <c r="D67" s="35" t="s">
        <v>175</v>
      </c>
      <c r="E67" s="52" t="s">
        <v>49</v>
      </c>
      <c r="F67" s="34">
        <f>F66*1.1</f>
        <v>5.841</v>
      </c>
      <c r="G67" s="75"/>
      <c r="H67" s="75"/>
      <c r="I67" s="75">
        <f t="shared" si="34"/>
        <v>0</v>
      </c>
      <c r="J67" s="75">
        <v>12.4</v>
      </c>
      <c r="K67" s="75">
        <f t="shared" si="27"/>
        <v>0</v>
      </c>
      <c r="L67" s="75">
        <f t="shared" si="28"/>
        <v>12.4</v>
      </c>
      <c r="M67" s="75">
        <f t="shared" si="35"/>
        <v>0</v>
      </c>
      <c r="N67" s="75">
        <f t="shared" si="36"/>
        <v>0</v>
      </c>
      <c r="O67" s="75">
        <f t="shared" si="37"/>
        <v>72.42840000000001</v>
      </c>
      <c r="P67" s="75">
        <f t="shared" si="38"/>
        <v>0</v>
      </c>
      <c r="Q67" s="75">
        <f t="shared" si="33"/>
        <v>72.42840000000001</v>
      </c>
      <c r="R67" s="61"/>
    </row>
    <row r="68" spans="2:18" ht="18.75">
      <c r="B68" s="57"/>
      <c r="C68" s="57"/>
      <c r="D68" s="35" t="s">
        <v>177</v>
      </c>
      <c r="E68" s="52" t="s">
        <v>98</v>
      </c>
      <c r="F68" s="34">
        <f>ROUND(F66/0.6,0)</f>
        <v>9</v>
      </c>
      <c r="G68" s="75"/>
      <c r="H68" s="75"/>
      <c r="I68" s="75">
        <f t="shared" si="34"/>
        <v>0</v>
      </c>
      <c r="J68" s="75">
        <v>10.5</v>
      </c>
      <c r="K68" s="75">
        <f t="shared" si="27"/>
        <v>0</v>
      </c>
      <c r="L68" s="75">
        <f t="shared" si="28"/>
        <v>10.5</v>
      </c>
      <c r="M68" s="75">
        <f t="shared" si="35"/>
        <v>0</v>
      </c>
      <c r="N68" s="75">
        <f t="shared" si="36"/>
        <v>0</v>
      </c>
      <c r="O68" s="75">
        <f t="shared" si="37"/>
        <v>94.5</v>
      </c>
      <c r="P68" s="75">
        <f t="shared" si="38"/>
        <v>0</v>
      </c>
      <c r="Q68" s="75">
        <f t="shared" si="33"/>
        <v>94.5</v>
      </c>
      <c r="R68" s="61"/>
    </row>
    <row r="69" spans="2:18" ht="18.75">
      <c r="B69" s="57">
        <v>9</v>
      </c>
      <c r="C69" s="57"/>
      <c r="D69" s="30" t="s">
        <v>178</v>
      </c>
      <c r="E69" s="52" t="s">
        <v>49</v>
      </c>
      <c r="F69" s="34">
        <f>F66</f>
        <v>5.31</v>
      </c>
      <c r="G69" s="75">
        <v>0.7</v>
      </c>
      <c r="H69" s="75">
        <v>8.5</v>
      </c>
      <c r="I69" s="75">
        <f aca="true" t="shared" si="39" ref="I69:I76">ROUND(H69*G69,2)</f>
        <v>5.95</v>
      </c>
      <c r="J69" s="75">
        <v>6</v>
      </c>
      <c r="K69" s="75">
        <f t="shared" si="27"/>
        <v>0.5355</v>
      </c>
      <c r="L69" s="75">
        <f t="shared" si="28"/>
        <v>12.4855</v>
      </c>
      <c r="M69" s="75">
        <f t="shared" si="35"/>
        <v>3.7169999999999996</v>
      </c>
      <c r="N69" s="75">
        <f t="shared" si="36"/>
        <v>31.5945</v>
      </c>
      <c r="O69" s="75">
        <f t="shared" si="37"/>
        <v>31.86</v>
      </c>
      <c r="P69" s="75">
        <f t="shared" si="38"/>
        <v>2.8435049999999995</v>
      </c>
      <c r="Q69" s="75">
        <f t="shared" si="33"/>
        <v>66.29800499999999</v>
      </c>
      <c r="R69" s="61"/>
    </row>
    <row r="70" spans="2:18" ht="28.5">
      <c r="B70" s="57">
        <v>10</v>
      </c>
      <c r="C70" s="57"/>
      <c r="D70" s="97" t="s">
        <v>179</v>
      </c>
      <c r="E70" s="32" t="s">
        <v>48</v>
      </c>
      <c r="F70" s="32">
        <v>25</v>
      </c>
      <c r="G70" s="39">
        <v>0.8</v>
      </c>
      <c r="H70" s="75">
        <v>8.5</v>
      </c>
      <c r="I70" s="39">
        <f t="shared" si="39"/>
        <v>6.8</v>
      </c>
      <c r="J70" s="39">
        <v>22.4</v>
      </c>
      <c r="K70" s="39">
        <v>3</v>
      </c>
      <c r="L70" s="39">
        <f t="shared" si="28"/>
        <v>32.2</v>
      </c>
      <c r="M70" s="39">
        <f>ROUND(F70*G70,2)</f>
        <v>20</v>
      </c>
      <c r="N70" s="39">
        <f>ROUND(F70*I70,2)</f>
        <v>170</v>
      </c>
      <c r="O70" s="39">
        <f>ROUND(F70*J70,2)</f>
        <v>560</v>
      </c>
      <c r="P70" s="39">
        <f>ROUND(F70*K70,2)</f>
        <v>75</v>
      </c>
      <c r="Q70" s="39">
        <f t="shared" si="33"/>
        <v>805</v>
      </c>
      <c r="R70" s="61"/>
    </row>
    <row r="71" spans="2:18" ht="28.5">
      <c r="B71" s="57">
        <v>11</v>
      </c>
      <c r="C71" s="57"/>
      <c r="D71" s="110" t="s">
        <v>181</v>
      </c>
      <c r="E71" s="33" t="s">
        <v>98</v>
      </c>
      <c r="F71" s="32">
        <v>2</v>
      </c>
      <c r="G71" s="111">
        <v>8</v>
      </c>
      <c r="H71" s="75">
        <v>8.5</v>
      </c>
      <c r="I71" s="111">
        <f t="shared" si="39"/>
        <v>68</v>
      </c>
      <c r="J71" s="111">
        <v>560</v>
      </c>
      <c r="K71" s="75">
        <f>0.09*I71</f>
        <v>6.12</v>
      </c>
      <c r="L71" s="111">
        <f t="shared" si="28"/>
        <v>634.12</v>
      </c>
      <c r="M71" s="111">
        <f>ROUND(F71*G71,2)</f>
        <v>16</v>
      </c>
      <c r="N71" s="111">
        <f>ROUND(F71*I71,2)</f>
        <v>136</v>
      </c>
      <c r="O71" s="111">
        <f>ROUND(F71*J71,2)</f>
        <v>1120</v>
      </c>
      <c r="P71" s="111">
        <f>ROUND(F71*K71,2)</f>
        <v>12.24</v>
      </c>
      <c r="Q71" s="111">
        <f t="shared" si="33"/>
        <v>1268.24</v>
      </c>
      <c r="R71" s="61"/>
    </row>
    <row r="72" spans="2:18" ht="18.75">
      <c r="B72" s="57">
        <v>12</v>
      </c>
      <c r="C72" s="57"/>
      <c r="D72" s="110" t="s">
        <v>182</v>
      </c>
      <c r="E72" s="33" t="s">
        <v>98</v>
      </c>
      <c r="F72" s="32">
        <v>2</v>
      </c>
      <c r="G72" s="111">
        <v>1</v>
      </c>
      <c r="H72" s="75">
        <v>8.5</v>
      </c>
      <c r="I72" s="111">
        <f t="shared" si="39"/>
        <v>8.5</v>
      </c>
      <c r="J72" s="111">
        <v>22.5</v>
      </c>
      <c r="K72" s="75">
        <f>0.09*I72</f>
        <v>0.765</v>
      </c>
      <c r="L72" s="111">
        <f t="shared" si="28"/>
        <v>31.765</v>
      </c>
      <c r="M72" s="111">
        <f>ROUND(F72*G72,2)</f>
        <v>2</v>
      </c>
      <c r="N72" s="111">
        <f>ROUND(F72*I72,2)</f>
        <v>17</v>
      </c>
      <c r="O72" s="111">
        <f>ROUND(F72*J72,2)</f>
        <v>45</v>
      </c>
      <c r="P72" s="111">
        <f>ROUND(F72*K72,2)</f>
        <v>1.53</v>
      </c>
      <c r="Q72" s="111">
        <f t="shared" si="33"/>
        <v>63.53</v>
      </c>
      <c r="R72" s="61"/>
    </row>
    <row r="73" spans="2:18" ht="9">
      <c r="B73" s="52"/>
      <c r="C73" s="52"/>
      <c r="D73" s="30"/>
      <c r="E73" s="52"/>
      <c r="F73" s="34"/>
      <c r="G73" s="75"/>
      <c r="H73" s="75"/>
      <c r="I73" s="75">
        <f t="shared" si="39"/>
        <v>0</v>
      </c>
      <c r="J73" s="75"/>
      <c r="K73" s="77"/>
      <c r="L73" s="75"/>
      <c r="M73" s="75"/>
      <c r="N73" s="75"/>
      <c r="O73" s="75"/>
      <c r="P73" s="75"/>
      <c r="Q73" s="75"/>
      <c r="R73" s="54"/>
    </row>
    <row r="74" spans="2:18" ht="9">
      <c r="B74" s="52"/>
      <c r="C74" s="52"/>
      <c r="D74" s="40" t="s">
        <v>140</v>
      </c>
      <c r="E74" s="52"/>
      <c r="F74" s="34"/>
      <c r="G74" s="75"/>
      <c r="H74" s="75"/>
      <c r="I74" s="75">
        <f t="shared" si="39"/>
        <v>0</v>
      </c>
      <c r="J74" s="75"/>
      <c r="K74" s="77">
        <f>0.09*I74</f>
        <v>0</v>
      </c>
      <c r="L74" s="75">
        <f aca="true" t="shared" si="40" ref="L74:L79">SUM(I74:K74)</f>
        <v>0</v>
      </c>
      <c r="M74" s="75">
        <f>F74*G74</f>
        <v>0</v>
      </c>
      <c r="N74" s="75">
        <f>F74*I74</f>
        <v>0</v>
      </c>
      <c r="O74" s="75">
        <f>J74*F74</f>
        <v>0</v>
      </c>
      <c r="P74" s="75">
        <f>K74*F74</f>
        <v>0</v>
      </c>
      <c r="Q74" s="75">
        <f aca="true" t="shared" si="41" ref="Q74:Q92">SUM(N74:P74)</f>
        <v>0</v>
      </c>
      <c r="R74" s="54"/>
    </row>
    <row r="75" spans="2:18" ht="18.75">
      <c r="B75" s="52">
        <v>1</v>
      </c>
      <c r="C75" s="52"/>
      <c r="D75" s="30" t="s">
        <v>163</v>
      </c>
      <c r="E75" s="52" t="s">
        <v>47</v>
      </c>
      <c r="F75" s="103">
        <f>F17</f>
        <v>103</v>
      </c>
      <c r="G75" s="104">
        <v>0.25</v>
      </c>
      <c r="H75" s="76">
        <v>8.5</v>
      </c>
      <c r="I75" s="104">
        <f t="shared" si="39"/>
        <v>2.13</v>
      </c>
      <c r="J75" s="104">
        <v>2.2</v>
      </c>
      <c r="K75" s="104">
        <v>6.25</v>
      </c>
      <c r="L75" s="104">
        <f t="shared" si="40"/>
        <v>10.58</v>
      </c>
      <c r="M75" s="104">
        <f>ROUND(F75*G75,2)</f>
        <v>25.75</v>
      </c>
      <c r="N75" s="104">
        <f>ROUND(F75*I75,2)</f>
        <v>219.39</v>
      </c>
      <c r="O75" s="104">
        <f>ROUND(F75*J75,2)</f>
        <v>226.6</v>
      </c>
      <c r="P75" s="104">
        <f>ROUND(F75*K75,2)</f>
        <v>643.75</v>
      </c>
      <c r="Q75" s="104">
        <f t="shared" si="41"/>
        <v>1089.74</v>
      </c>
      <c r="R75" s="54"/>
    </row>
    <row r="76" spans="2:18" ht="9">
      <c r="B76" s="52">
        <v>2</v>
      </c>
      <c r="C76" s="52"/>
      <c r="D76" s="30" t="s">
        <v>164</v>
      </c>
      <c r="E76" s="52" t="s">
        <v>47</v>
      </c>
      <c r="F76" s="34">
        <f>F75*1.2</f>
        <v>123.6</v>
      </c>
      <c r="G76" s="75">
        <v>0.03</v>
      </c>
      <c r="H76" s="75">
        <v>8.5</v>
      </c>
      <c r="I76" s="75">
        <f t="shared" si="39"/>
        <v>0.26</v>
      </c>
      <c r="J76" s="75">
        <v>0.65</v>
      </c>
      <c r="K76" s="77">
        <f aca="true" t="shared" si="42" ref="K76:K91">0.09*I76</f>
        <v>0.0234</v>
      </c>
      <c r="L76" s="75">
        <f t="shared" si="40"/>
        <v>0.9334</v>
      </c>
      <c r="M76" s="75">
        <f aca="true" t="shared" si="43" ref="M76:M83">F76*G76</f>
        <v>3.7079999999999997</v>
      </c>
      <c r="N76" s="75">
        <f aca="true" t="shared" si="44" ref="N76:N83">F76*I76</f>
        <v>32.136</v>
      </c>
      <c r="O76" s="75">
        <f aca="true" t="shared" si="45" ref="O76:O83">J76*F76</f>
        <v>80.34</v>
      </c>
      <c r="P76" s="75">
        <f aca="true" t="shared" si="46" ref="P76:P83">K76*F76</f>
        <v>2.89224</v>
      </c>
      <c r="Q76" s="75">
        <f t="shared" si="41"/>
        <v>115.36824</v>
      </c>
      <c r="R76" s="54"/>
    </row>
    <row r="77" spans="2:18" ht="18.75">
      <c r="B77" s="52">
        <v>3</v>
      </c>
      <c r="C77" s="52"/>
      <c r="D77" s="30" t="s">
        <v>169</v>
      </c>
      <c r="E77" s="52" t="s">
        <v>47</v>
      </c>
      <c r="F77" s="34">
        <f>F75</f>
        <v>103</v>
      </c>
      <c r="G77" s="75">
        <v>0.4</v>
      </c>
      <c r="H77" s="75">
        <v>8.5</v>
      </c>
      <c r="I77" s="75">
        <f aca="true" t="shared" si="47" ref="I77:I90">ROUND(H77*G77,2)</f>
        <v>3.4</v>
      </c>
      <c r="J77" s="75">
        <v>3.2</v>
      </c>
      <c r="K77" s="75">
        <f t="shared" si="42"/>
        <v>0.306</v>
      </c>
      <c r="L77" s="75">
        <f t="shared" si="40"/>
        <v>6.906</v>
      </c>
      <c r="M77" s="75">
        <f t="shared" si="43"/>
        <v>41.2</v>
      </c>
      <c r="N77" s="75">
        <f t="shared" si="44"/>
        <v>350.2</v>
      </c>
      <c r="O77" s="75">
        <f t="shared" si="45"/>
        <v>329.6</v>
      </c>
      <c r="P77" s="75">
        <f t="shared" si="46"/>
        <v>31.518</v>
      </c>
      <c r="Q77" s="75">
        <f t="shared" si="41"/>
        <v>711.318</v>
      </c>
      <c r="R77" s="54"/>
    </row>
    <row r="78" spans="2:18" ht="9">
      <c r="B78" s="52">
        <v>4</v>
      </c>
      <c r="C78" s="52"/>
      <c r="D78" s="30" t="s">
        <v>184</v>
      </c>
      <c r="E78" s="52" t="s">
        <v>47</v>
      </c>
      <c r="F78" s="34">
        <f>F75</f>
        <v>103</v>
      </c>
      <c r="G78" s="75">
        <v>1.5</v>
      </c>
      <c r="H78" s="75">
        <v>8.5</v>
      </c>
      <c r="I78" s="75">
        <f t="shared" si="47"/>
        <v>12.75</v>
      </c>
      <c r="J78" s="75"/>
      <c r="K78" s="75">
        <f t="shared" si="42"/>
        <v>1.1475</v>
      </c>
      <c r="L78" s="75">
        <f t="shared" si="40"/>
        <v>13.8975</v>
      </c>
      <c r="M78" s="75">
        <f t="shared" si="43"/>
        <v>154.5</v>
      </c>
      <c r="N78" s="75">
        <f t="shared" si="44"/>
        <v>1313.25</v>
      </c>
      <c r="O78" s="75">
        <f t="shared" si="45"/>
        <v>0</v>
      </c>
      <c r="P78" s="75">
        <f t="shared" si="46"/>
        <v>118.1925</v>
      </c>
      <c r="Q78" s="75">
        <f t="shared" si="41"/>
        <v>1431.4425</v>
      </c>
      <c r="R78" s="54"/>
    </row>
    <row r="79" spans="2:18" ht="18.75">
      <c r="B79" s="52"/>
      <c r="C79" s="52"/>
      <c r="D79" s="35" t="s">
        <v>165</v>
      </c>
      <c r="E79" s="52" t="s">
        <v>47</v>
      </c>
      <c r="F79" s="34">
        <f>F78*1.2</f>
        <v>123.6</v>
      </c>
      <c r="G79" s="75"/>
      <c r="H79" s="75"/>
      <c r="I79" s="75">
        <f t="shared" si="47"/>
        <v>0</v>
      </c>
      <c r="J79" s="75">
        <v>14.8</v>
      </c>
      <c r="K79" s="75">
        <f t="shared" si="42"/>
        <v>0</v>
      </c>
      <c r="L79" s="75">
        <f t="shared" si="40"/>
        <v>14.8</v>
      </c>
      <c r="M79" s="75">
        <f t="shared" si="43"/>
        <v>0</v>
      </c>
      <c r="N79" s="75">
        <f t="shared" si="44"/>
        <v>0</v>
      </c>
      <c r="O79" s="75">
        <f t="shared" si="45"/>
        <v>1829.28</v>
      </c>
      <c r="P79" s="75">
        <f t="shared" si="46"/>
        <v>0</v>
      </c>
      <c r="Q79" s="75">
        <f t="shared" si="41"/>
        <v>1829.28</v>
      </c>
      <c r="R79" s="54"/>
    </row>
    <row r="80" spans="2:18" ht="9">
      <c r="B80" s="52"/>
      <c r="C80" s="52"/>
      <c r="D80" s="35" t="s">
        <v>166</v>
      </c>
      <c r="E80" s="52" t="s">
        <v>47</v>
      </c>
      <c r="F80" s="34">
        <f>F79</f>
        <v>123.6</v>
      </c>
      <c r="G80" s="75"/>
      <c r="H80" s="75"/>
      <c r="I80" s="75">
        <f t="shared" si="47"/>
        <v>0</v>
      </c>
      <c r="J80" s="75">
        <v>5.1</v>
      </c>
      <c r="K80" s="75">
        <f t="shared" si="42"/>
        <v>0</v>
      </c>
      <c r="L80" s="75">
        <f aca="true" t="shared" si="48" ref="L80:L92">SUM(I80:K80)</f>
        <v>5.1</v>
      </c>
      <c r="M80" s="75">
        <f t="shared" si="43"/>
        <v>0</v>
      </c>
      <c r="N80" s="75">
        <f t="shared" si="44"/>
        <v>0</v>
      </c>
      <c r="O80" s="75">
        <f t="shared" si="45"/>
        <v>630.3599999999999</v>
      </c>
      <c r="P80" s="75">
        <f t="shared" si="46"/>
        <v>0</v>
      </c>
      <c r="Q80" s="75">
        <f t="shared" si="41"/>
        <v>630.3599999999999</v>
      </c>
      <c r="R80" s="54"/>
    </row>
    <row r="81" spans="2:18" ht="9">
      <c r="B81" s="52"/>
      <c r="C81" s="52"/>
      <c r="D81" s="35" t="s">
        <v>185</v>
      </c>
      <c r="E81" s="52" t="s">
        <v>48</v>
      </c>
      <c r="F81" s="34">
        <v>90</v>
      </c>
      <c r="G81" s="75">
        <v>0</v>
      </c>
      <c r="H81" s="75">
        <v>0</v>
      </c>
      <c r="I81" s="75">
        <f t="shared" si="47"/>
        <v>0</v>
      </c>
      <c r="J81" s="75">
        <v>3.8</v>
      </c>
      <c r="K81" s="75">
        <f t="shared" si="42"/>
        <v>0</v>
      </c>
      <c r="L81" s="75">
        <f t="shared" si="48"/>
        <v>3.8</v>
      </c>
      <c r="M81" s="75">
        <f t="shared" si="43"/>
        <v>0</v>
      </c>
      <c r="N81" s="75">
        <f t="shared" si="44"/>
        <v>0</v>
      </c>
      <c r="O81" s="75">
        <f t="shared" si="45"/>
        <v>342</v>
      </c>
      <c r="P81" s="75">
        <f t="shared" si="46"/>
        <v>0</v>
      </c>
      <c r="Q81" s="75">
        <f t="shared" si="41"/>
        <v>342</v>
      </c>
      <c r="R81" s="54"/>
    </row>
    <row r="82" spans="2:18" ht="9">
      <c r="B82" s="52"/>
      <c r="C82" s="52"/>
      <c r="D82" s="35" t="s">
        <v>190</v>
      </c>
      <c r="E82" s="52" t="s">
        <v>47</v>
      </c>
      <c r="F82" s="34">
        <f>F79</f>
        <v>123.6</v>
      </c>
      <c r="G82" s="75"/>
      <c r="H82" s="75"/>
      <c r="I82" s="75">
        <f t="shared" si="47"/>
        <v>0</v>
      </c>
      <c r="J82" s="75">
        <v>1.5</v>
      </c>
      <c r="K82" s="75">
        <f t="shared" si="42"/>
        <v>0</v>
      </c>
      <c r="L82" s="75">
        <f t="shared" si="48"/>
        <v>1.5</v>
      </c>
      <c r="M82" s="75">
        <f t="shared" si="43"/>
        <v>0</v>
      </c>
      <c r="N82" s="75">
        <f t="shared" si="44"/>
        <v>0</v>
      </c>
      <c r="O82" s="75">
        <f t="shared" si="45"/>
        <v>185.39999999999998</v>
      </c>
      <c r="P82" s="75">
        <f t="shared" si="46"/>
        <v>0</v>
      </c>
      <c r="Q82" s="75">
        <f t="shared" si="41"/>
        <v>185.39999999999998</v>
      </c>
      <c r="R82" s="54"/>
    </row>
    <row r="83" spans="2:18" ht="28.5">
      <c r="B83" s="52">
        <v>5</v>
      </c>
      <c r="C83" s="52"/>
      <c r="D83" s="30" t="s">
        <v>189</v>
      </c>
      <c r="E83" s="52" t="s">
        <v>47</v>
      </c>
      <c r="F83" s="34">
        <f>F78</f>
        <v>103</v>
      </c>
      <c r="G83" s="75">
        <v>1.5</v>
      </c>
      <c r="H83" s="75">
        <v>8.5</v>
      </c>
      <c r="I83" s="75">
        <f t="shared" si="47"/>
        <v>12.75</v>
      </c>
      <c r="J83" s="75">
        <v>0</v>
      </c>
      <c r="K83" s="75">
        <f t="shared" si="42"/>
        <v>1.1475</v>
      </c>
      <c r="L83" s="75">
        <f t="shared" si="48"/>
        <v>13.8975</v>
      </c>
      <c r="M83" s="75">
        <f t="shared" si="43"/>
        <v>154.5</v>
      </c>
      <c r="N83" s="75">
        <f t="shared" si="44"/>
        <v>1313.25</v>
      </c>
      <c r="O83" s="75">
        <f t="shared" si="45"/>
        <v>0</v>
      </c>
      <c r="P83" s="75">
        <f t="shared" si="46"/>
        <v>118.1925</v>
      </c>
      <c r="Q83" s="75">
        <f t="shared" si="41"/>
        <v>1431.4425</v>
      </c>
      <c r="R83" s="54"/>
    </row>
    <row r="84" spans="2:18" ht="10.5">
      <c r="B84" s="52"/>
      <c r="C84" s="52"/>
      <c r="D84" s="115" t="s">
        <v>149</v>
      </c>
      <c r="E84" s="32" t="s">
        <v>47</v>
      </c>
      <c r="F84" s="32">
        <f>ROUND(F83*1.3,2)</f>
        <v>133.9</v>
      </c>
      <c r="G84" s="39"/>
      <c r="H84" s="39"/>
      <c r="I84" s="39">
        <f t="shared" si="47"/>
        <v>0</v>
      </c>
      <c r="J84" s="39">
        <v>3.2</v>
      </c>
      <c r="K84" s="39">
        <f t="shared" si="42"/>
        <v>0</v>
      </c>
      <c r="L84" s="39">
        <f t="shared" si="48"/>
        <v>3.2</v>
      </c>
      <c r="M84" s="39">
        <f>ROUND(F84*G84,2)</f>
        <v>0</v>
      </c>
      <c r="N84" s="39">
        <f>ROUND(F84*I84,2)</f>
        <v>0</v>
      </c>
      <c r="O84" s="39">
        <f>ROUND(F84*J84,2)</f>
        <v>428.48</v>
      </c>
      <c r="P84" s="39">
        <f>ROUND(F84*K84,2)</f>
        <v>0</v>
      </c>
      <c r="Q84" s="39">
        <f t="shared" si="41"/>
        <v>428.48</v>
      </c>
      <c r="R84" s="54"/>
    </row>
    <row r="85" spans="2:18" ht="10.5">
      <c r="B85" s="52"/>
      <c r="C85" s="52"/>
      <c r="D85" s="115" t="s">
        <v>150</v>
      </c>
      <c r="E85" s="32" t="s">
        <v>47</v>
      </c>
      <c r="F85" s="32">
        <f>ROUND(F83*1.5,2)</f>
        <v>154.5</v>
      </c>
      <c r="G85" s="39"/>
      <c r="H85" s="39"/>
      <c r="I85" s="39">
        <f t="shared" si="47"/>
        <v>0</v>
      </c>
      <c r="J85" s="39">
        <v>3.9</v>
      </c>
      <c r="K85" s="39">
        <f t="shared" si="42"/>
        <v>0</v>
      </c>
      <c r="L85" s="39">
        <f t="shared" si="48"/>
        <v>3.9</v>
      </c>
      <c r="M85" s="39">
        <f>ROUND(F85*G85,2)</f>
        <v>0</v>
      </c>
      <c r="N85" s="39">
        <f>ROUND(F85*I85,2)</f>
        <v>0</v>
      </c>
      <c r="O85" s="39">
        <f>ROUND(F85*J85,2)</f>
        <v>602.55</v>
      </c>
      <c r="P85" s="39">
        <f>ROUND(F85*K85,2)</f>
        <v>0</v>
      </c>
      <c r="Q85" s="39">
        <f t="shared" si="41"/>
        <v>602.55</v>
      </c>
      <c r="R85" s="54"/>
    </row>
    <row r="86" spans="2:18" ht="18.75">
      <c r="B86" s="52"/>
      <c r="C86" s="52"/>
      <c r="D86" s="35" t="s">
        <v>188</v>
      </c>
      <c r="E86" s="52" t="s">
        <v>48</v>
      </c>
      <c r="F86" s="34">
        <v>83</v>
      </c>
      <c r="G86" s="75"/>
      <c r="H86" s="75"/>
      <c r="I86" s="75">
        <f t="shared" si="47"/>
        <v>0</v>
      </c>
      <c r="J86" s="75">
        <v>12.5</v>
      </c>
      <c r="K86" s="75">
        <f t="shared" si="42"/>
        <v>0</v>
      </c>
      <c r="L86" s="75">
        <f t="shared" si="48"/>
        <v>12.5</v>
      </c>
      <c r="M86" s="75">
        <f>F86*G86</f>
        <v>0</v>
      </c>
      <c r="N86" s="75">
        <f>F86*I86</f>
        <v>0</v>
      </c>
      <c r="O86" s="75">
        <f>J86*F86</f>
        <v>1037.5</v>
      </c>
      <c r="P86" s="75">
        <f>K86*F86</f>
        <v>0</v>
      </c>
      <c r="Q86" s="75">
        <f t="shared" si="41"/>
        <v>1037.5</v>
      </c>
      <c r="R86" s="54"/>
    </row>
    <row r="87" spans="2:18" ht="28.5">
      <c r="B87" s="52"/>
      <c r="C87" s="52"/>
      <c r="D87" s="35" t="s">
        <v>186</v>
      </c>
      <c r="E87" s="52" t="s">
        <v>48</v>
      </c>
      <c r="F87" s="34">
        <v>9</v>
      </c>
      <c r="G87" s="75"/>
      <c r="H87" s="75"/>
      <c r="I87" s="75">
        <f t="shared" si="47"/>
        <v>0</v>
      </c>
      <c r="J87" s="75">
        <v>7.5</v>
      </c>
      <c r="K87" s="75">
        <f t="shared" si="42"/>
        <v>0</v>
      </c>
      <c r="L87" s="75">
        <f t="shared" si="48"/>
        <v>7.5</v>
      </c>
      <c r="M87" s="75">
        <f>F87*G87</f>
        <v>0</v>
      </c>
      <c r="N87" s="75">
        <f>F87*I87</f>
        <v>0</v>
      </c>
      <c r="O87" s="75">
        <f>J87*F87</f>
        <v>67.5</v>
      </c>
      <c r="P87" s="75">
        <f>K87*F87</f>
        <v>0</v>
      </c>
      <c r="Q87" s="75">
        <f t="shared" si="41"/>
        <v>67.5</v>
      </c>
      <c r="R87" s="54"/>
    </row>
    <row r="88" spans="2:18" ht="28.5">
      <c r="B88" s="52"/>
      <c r="C88" s="52"/>
      <c r="D88" s="35" t="s">
        <v>191</v>
      </c>
      <c r="E88" s="52" t="s">
        <v>48</v>
      </c>
      <c r="F88" s="34">
        <f>F86</f>
        <v>83</v>
      </c>
      <c r="G88" s="75"/>
      <c r="H88" s="75"/>
      <c r="I88" s="75">
        <f t="shared" si="47"/>
        <v>0</v>
      </c>
      <c r="J88" s="75">
        <v>12.5</v>
      </c>
      <c r="K88" s="75">
        <f t="shared" si="42"/>
        <v>0</v>
      </c>
      <c r="L88" s="75">
        <f t="shared" si="48"/>
        <v>12.5</v>
      </c>
      <c r="M88" s="75">
        <f>F88*G88</f>
        <v>0</v>
      </c>
      <c r="N88" s="75">
        <f>F88*I88</f>
        <v>0</v>
      </c>
      <c r="O88" s="75">
        <f>J88*F88</f>
        <v>1037.5</v>
      </c>
      <c r="P88" s="75">
        <f>K88*F88</f>
        <v>0</v>
      </c>
      <c r="Q88" s="75">
        <f t="shared" si="41"/>
        <v>1037.5</v>
      </c>
      <c r="R88" s="54"/>
    </row>
    <row r="89" spans="2:18" ht="9">
      <c r="B89" s="52"/>
      <c r="C89" s="52"/>
      <c r="D89" s="35" t="s">
        <v>141</v>
      </c>
      <c r="E89" s="52" t="s">
        <v>98</v>
      </c>
      <c r="F89" s="34">
        <v>10</v>
      </c>
      <c r="G89" s="75"/>
      <c r="H89" s="75"/>
      <c r="I89" s="75">
        <f t="shared" si="47"/>
        <v>0</v>
      </c>
      <c r="J89" s="75">
        <v>28.6</v>
      </c>
      <c r="K89" s="75">
        <f t="shared" si="42"/>
        <v>0</v>
      </c>
      <c r="L89" s="75">
        <f t="shared" si="48"/>
        <v>28.6</v>
      </c>
      <c r="M89" s="75">
        <f>F89*G89</f>
        <v>0</v>
      </c>
      <c r="N89" s="75">
        <f>F89*I89</f>
        <v>0</v>
      </c>
      <c r="O89" s="75">
        <f>J89*F89</f>
        <v>286</v>
      </c>
      <c r="P89" s="75">
        <f>K89*F89</f>
        <v>0</v>
      </c>
      <c r="Q89" s="75">
        <f t="shared" si="41"/>
        <v>286</v>
      </c>
      <c r="R89" s="54"/>
    </row>
    <row r="90" spans="2:18" ht="9">
      <c r="B90" s="52"/>
      <c r="C90" s="52"/>
      <c r="D90" s="35" t="s">
        <v>108</v>
      </c>
      <c r="E90" s="36" t="s">
        <v>109</v>
      </c>
      <c r="F90" s="34">
        <f>ROUND(F85*0.02,0)</f>
        <v>3</v>
      </c>
      <c r="G90" s="75"/>
      <c r="H90" s="75"/>
      <c r="I90" s="75">
        <f t="shared" si="47"/>
        <v>0</v>
      </c>
      <c r="J90" s="75">
        <v>36</v>
      </c>
      <c r="K90" s="77">
        <f t="shared" si="42"/>
        <v>0</v>
      </c>
      <c r="L90" s="75">
        <f t="shared" si="48"/>
        <v>36</v>
      </c>
      <c r="M90" s="75">
        <f>F90*G90</f>
        <v>0</v>
      </c>
      <c r="N90" s="75">
        <f>F90*I90</f>
        <v>0</v>
      </c>
      <c r="O90" s="75">
        <f>J90*F90</f>
        <v>108</v>
      </c>
      <c r="P90" s="75">
        <f>K90*F90</f>
        <v>0</v>
      </c>
      <c r="Q90" s="75">
        <f t="shared" si="41"/>
        <v>108</v>
      </c>
      <c r="R90" s="54"/>
    </row>
    <row r="91" spans="2:18" ht="18.75">
      <c r="B91" s="52">
        <v>6</v>
      </c>
      <c r="C91" s="52"/>
      <c r="D91" s="30" t="s">
        <v>187</v>
      </c>
      <c r="E91" s="33" t="s">
        <v>98</v>
      </c>
      <c r="F91" s="32">
        <v>18</v>
      </c>
      <c r="G91" s="111">
        <v>0.8</v>
      </c>
      <c r="H91" s="111">
        <v>8.5</v>
      </c>
      <c r="I91" s="111">
        <f>ROUND(H91*G91,2)</f>
        <v>6.8</v>
      </c>
      <c r="J91" s="111">
        <v>8.5</v>
      </c>
      <c r="K91" s="75">
        <f t="shared" si="42"/>
        <v>0.612</v>
      </c>
      <c r="L91" s="111">
        <f t="shared" si="48"/>
        <v>15.912</v>
      </c>
      <c r="M91" s="111">
        <f>ROUND(F91*G91,2)</f>
        <v>14.4</v>
      </c>
      <c r="N91" s="111">
        <f>ROUND(F91*I91,2)</f>
        <v>122.4</v>
      </c>
      <c r="O91" s="111">
        <f>ROUND(F91*J91,2)</f>
        <v>153</v>
      </c>
      <c r="P91" s="111">
        <f>ROUND(F91*K91,2)</f>
        <v>11.02</v>
      </c>
      <c r="Q91" s="111">
        <f t="shared" si="41"/>
        <v>286.41999999999996</v>
      </c>
      <c r="R91" s="54"/>
    </row>
    <row r="92" spans="2:18" ht="9">
      <c r="B92" s="52">
        <v>7</v>
      </c>
      <c r="C92" s="52"/>
      <c r="D92" s="30" t="s">
        <v>210</v>
      </c>
      <c r="E92" s="99" t="s">
        <v>143</v>
      </c>
      <c r="F92" s="99">
        <v>1</v>
      </c>
      <c r="G92" s="100">
        <v>200</v>
      </c>
      <c r="H92" s="79">
        <v>8.5</v>
      </c>
      <c r="I92" s="100">
        <f>ROUND(H92*G92,2)</f>
        <v>1700</v>
      </c>
      <c r="J92" s="100">
        <v>1200</v>
      </c>
      <c r="K92" s="100">
        <v>50</v>
      </c>
      <c r="L92" s="100">
        <f t="shared" si="48"/>
        <v>2950</v>
      </c>
      <c r="M92" s="100">
        <f>ROUND(F92*G92,2)</f>
        <v>200</v>
      </c>
      <c r="N92" s="100">
        <f>ROUND(F92*I92,2)</f>
        <v>1700</v>
      </c>
      <c r="O92" s="100">
        <f>ROUND(F92*J92,2)</f>
        <v>1200</v>
      </c>
      <c r="P92" s="100">
        <f>ROUND(F92*K92,2)</f>
        <v>50</v>
      </c>
      <c r="Q92" s="100">
        <f t="shared" si="41"/>
        <v>2950</v>
      </c>
      <c r="R92" s="54"/>
    </row>
    <row r="93" spans="2:18" ht="9">
      <c r="B93" s="52"/>
      <c r="C93" s="52"/>
      <c r="D93" s="52"/>
      <c r="E93" s="52"/>
      <c r="F93" s="53"/>
      <c r="G93" s="75"/>
      <c r="H93" s="75"/>
      <c r="I93" s="75"/>
      <c r="J93" s="75"/>
      <c r="K93" s="75"/>
      <c r="L93" s="75"/>
      <c r="M93" s="75"/>
      <c r="N93" s="75"/>
      <c r="O93" s="75"/>
      <c r="P93" s="75"/>
      <c r="Q93" s="75"/>
      <c r="R93" s="54"/>
    </row>
    <row r="94" spans="2:18" ht="9">
      <c r="B94" s="32"/>
      <c r="C94" s="134" t="s">
        <v>81</v>
      </c>
      <c r="D94" s="135"/>
      <c r="E94" s="135"/>
      <c r="F94" s="135"/>
      <c r="G94" s="136"/>
      <c r="H94" s="33"/>
      <c r="I94" s="33"/>
      <c r="J94" s="33"/>
      <c r="K94" s="33"/>
      <c r="L94" s="33"/>
      <c r="M94" s="33">
        <f>SUM(M13:M93)</f>
        <v>2549.64546</v>
      </c>
      <c r="N94" s="33">
        <f>SUM(N13:N93)</f>
        <v>21680.85212</v>
      </c>
      <c r="O94" s="33">
        <f>SUM(O13:O93)</f>
        <v>34222.756</v>
      </c>
      <c r="P94" s="33">
        <f>SUM(P13:P93)</f>
        <v>3134.2536538</v>
      </c>
      <c r="Q94" s="33">
        <f>SUM(Q13:Q93)</f>
        <v>59037.8617738</v>
      </c>
      <c r="R94" s="54"/>
    </row>
    <row r="96" spans="4:8" ht="12.75" customHeight="1">
      <c r="D96" s="6" t="s">
        <v>211</v>
      </c>
      <c r="E96" s="116" t="s">
        <v>75</v>
      </c>
      <c r="F96" s="116"/>
      <c r="G96" s="116"/>
      <c r="H96" s="116"/>
    </row>
    <row r="97" spans="4:8" ht="9">
      <c r="D97" s="6"/>
      <c r="E97" s="116"/>
      <c r="F97" s="116"/>
      <c r="G97" s="116"/>
      <c r="H97" s="116"/>
    </row>
    <row r="98" spans="4:11" ht="12.75" customHeight="1">
      <c r="D98" s="117" t="s">
        <v>130</v>
      </c>
      <c r="E98" s="119" t="s">
        <v>131</v>
      </c>
      <c r="F98" s="118"/>
      <c r="G98" s="118"/>
      <c r="H98" s="118"/>
      <c r="J98" s="118"/>
      <c r="K98" s="118"/>
    </row>
  </sheetData>
  <sheetProtection selectLockedCells="1" selectUnlockedCells="1"/>
  <mergeCells count="17">
    <mergeCell ref="E3:I3"/>
    <mergeCell ref="E5:G5"/>
    <mergeCell ref="E6:H6"/>
    <mergeCell ref="N6:P6"/>
    <mergeCell ref="N7:Q7"/>
    <mergeCell ref="H9:H10"/>
    <mergeCell ref="I9:L9"/>
    <mergeCell ref="M9:M10"/>
    <mergeCell ref="D7:G7"/>
    <mergeCell ref="N9:Q9"/>
    <mergeCell ref="B9:B10"/>
    <mergeCell ref="D9:D10"/>
    <mergeCell ref="E9:E10"/>
    <mergeCell ref="F9:F10"/>
    <mergeCell ref="C94:G94"/>
    <mergeCell ref="C9:C10"/>
    <mergeCell ref="G9:G10"/>
  </mergeCells>
  <printOptions/>
  <pageMargins left="0" right="0" top="0.5905511811023623"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R53"/>
  <sheetViews>
    <sheetView zoomScale="115" zoomScaleNormal="115" zoomScalePageLayoutView="0" workbookViewId="0" topLeftCell="A22">
      <selection activeCell="D47" sqref="D47"/>
    </sheetView>
  </sheetViews>
  <sheetFormatPr defaultColWidth="8.7109375" defaultRowHeight="12.75"/>
  <cols>
    <col min="1" max="1" width="0.9921875" style="41" customWidth="1"/>
    <col min="2" max="3" width="2.7109375" style="41" customWidth="1"/>
    <col min="4" max="4" width="41.57421875" style="41" customWidth="1"/>
    <col min="5" max="5" width="4.8515625" style="41" customWidth="1"/>
    <col min="6" max="6" width="6.28125" style="41" customWidth="1"/>
    <col min="7" max="13" width="7.140625" style="41" customWidth="1"/>
    <col min="14" max="14" width="7.421875" style="41" customWidth="1"/>
    <col min="15" max="15" width="7.57421875" style="41" customWidth="1"/>
    <col min="16" max="16" width="7.140625" style="41" customWidth="1"/>
    <col min="17" max="17" width="8.421875" style="41" customWidth="1"/>
    <col min="18" max="16384" width="8.7109375" style="41" customWidth="1"/>
  </cols>
  <sheetData>
    <row r="1" ht="9">
      <c r="J1" s="42" t="str">
        <f>Kopsavilkums!C15</f>
        <v>Lokālā tāme Nr. 2</v>
      </c>
    </row>
    <row r="2" spans="4:17" ht="9">
      <c r="D2" s="43"/>
      <c r="E2" s="43"/>
      <c r="F2" s="43"/>
      <c r="G2" s="43"/>
      <c r="H2" s="43"/>
      <c r="I2" s="43"/>
      <c r="J2" s="44" t="str">
        <f>D13</f>
        <v>Bēniņi</v>
      </c>
      <c r="K2" s="43"/>
      <c r="L2" s="43"/>
      <c r="M2" s="43"/>
      <c r="N2" s="43"/>
      <c r="O2" s="43"/>
      <c r="P2" s="43"/>
      <c r="Q2" s="43"/>
    </row>
    <row r="3" spans="2:17" ht="9">
      <c r="B3" s="45"/>
      <c r="C3" s="45"/>
      <c r="D3" s="46" t="s">
        <v>0</v>
      </c>
      <c r="E3" s="143"/>
      <c r="F3" s="143"/>
      <c r="G3" s="143"/>
      <c r="H3" s="143"/>
      <c r="I3" s="143"/>
      <c r="J3" s="45"/>
      <c r="K3" s="45"/>
      <c r="L3" s="45"/>
      <c r="M3" s="45"/>
      <c r="N3" s="45"/>
      <c r="O3" s="45"/>
      <c r="P3" s="45"/>
      <c r="Q3" s="45"/>
    </row>
    <row r="4" spans="4:11" ht="12.75" customHeight="1">
      <c r="D4" s="46" t="s">
        <v>2</v>
      </c>
      <c r="E4" s="143" t="str">
        <f>Kopsavilkums!D5</f>
        <v>Dzīvojamās mājas jumta seguma nomaiņa, bēniņu un mazā jumta pārseguma siltināšana</v>
      </c>
      <c r="F4" s="143"/>
      <c r="G4" s="143"/>
      <c r="H4" s="143"/>
      <c r="I4" s="143"/>
      <c r="J4" s="143"/>
      <c r="K4" s="143"/>
    </row>
    <row r="5" spans="4:7" ht="9">
      <c r="D5" s="46" t="s">
        <v>4</v>
      </c>
      <c r="E5" s="143" t="str">
        <f>Kopsavilkums!D6</f>
        <v>Dzīvojamās mājas jumta seguma nomaiņa, bēniņu un mazā jumta pārseguma siltināšana</v>
      </c>
      <c r="F5" s="143"/>
      <c r="G5" s="143"/>
    </row>
    <row r="6" spans="4:17" ht="12.75" customHeight="1">
      <c r="D6" s="46" t="s">
        <v>6</v>
      </c>
      <c r="E6" s="140" t="str">
        <f>Kopsavilkums!D7</f>
        <v>Daugavpils, Bauskas iela 5</v>
      </c>
      <c r="F6" s="140"/>
      <c r="G6" s="140"/>
      <c r="H6" s="140"/>
      <c r="I6" s="47"/>
      <c r="N6" s="139" t="s">
        <v>8</v>
      </c>
      <c r="O6" s="139"/>
      <c r="P6" s="139"/>
      <c r="Q6" s="48">
        <f>Q48</f>
        <v>75757.80500000001</v>
      </c>
    </row>
    <row r="7" spans="4:17" ht="9">
      <c r="D7" s="120" t="str">
        <f>Kopsavilkums!B8</f>
        <v>Tāme sastādīta 2018. gada tirgus cenās pamatojoties uz AR daļas rasējumiem.</v>
      </c>
      <c r="E7" s="120"/>
      <c r="F7" s="120"/>
      <c r="N7" s="139" t="str">
        <f>Kopsavilkums!F11</f>
        <v>Tāme sastādīta 2019. gada 21.janvārī</v>
      </c>
      <c r="O7" s="139"/>
      <c r="P7" s="139"/>
      <c r="Q7" s="139"/>
    </row>
    <row r="8" spans="2:17" ht="9">
      <c r="B8" s="50"/>
      <c r="C8" s="50"/>
      <c r="D8" s="50"/>
      <c r="E8" s="50"/>
      <c r="F8" s="50"/>
      <c r="G8" s="50"/>
      <c r="H8" s="50"/>
      <c r="I8" s="50"/>
      <c r="J8" s="50"/>
      <c r="K8" s="50"/>
      <c r="L8" s="50"/>
      <c r="M8" s="50"/>
      <c r="N8" s="50"/>
      <c r="O8" s="50"/>
      <c r="P8" s="50"/>
      <c r="Q8" s="50"/>
    </row>
    <row r="9" spans="2:18" ht="12.75" customHeight="1">
      <c r="B9" s="132" t="s">
        <v>83</v>
      </c>
      <c r="C9" s="137" t="s">
        <v>82</v>
      </c>
      <c r="D9" s="132" t="s">
        <v>84</v>
      </c>
      <c r="E9" s="132" t="s">
        <v>85</v>
      </c>
      <c r="F9" s="133" t="s">
        <v>46</v>
      </c>
      <c r="G9" s="133" t="s">
        <v>86</v>
      </c>
      <c r="H9" s="133" t="s">
        <v>87</v>
      </c>
      <c r="I9" s="141" t="s">
        <v>88</v>
      </c>
      <c r="J9" s="141"/>
      <c r="K9" s="141"/>
      <c r="L9" s="141"/>
      <c r="M9" s="133" t="s">
        <v>89</v>
      </c>
      <c r="N9" s="141" t="s">
        <v>90</v>
      </c>
      <c r="O9" s="141"/>
      <c r="P9" s="141"/>
      <c r="Q9" s="141"/>
      <c r="R9" s="51"/>
    </row>
    <row r="10" spans="2:18" ht="28.5">
      <c r="B10" s="132"/>
      <c r="C10" s="138"/>
      <c r="D10" s="132"/>
      <c r="E10" s="132"/>
      <c r="F10" s="133"/>
      <c r="G10" s="133"/>
      <c r="H10" s="133"/>
      <c r="I10" s="31" t="s">
        <v>91</v>
      </c>
      <c r="J10" s="31" t="s">
        <v>92</v>
      </c>
      <c r="K10" s="31" t="s">
        <v>93</v>
      </c>
      <c r="L10" s="31" t="s">
        <v>94</v>
      </c>
      <c r="M10" s="133"/>
      <c r="N10" s="31" t="s">
        <v>95</v>
      </c>
      <c r="O10" s="31" t="s">
        <v>96</v>
      </c>
      <c r="P10" s="31" t="s">
        <v>97</v>
      </c>
      <c r="Q10" s="31" t="s">
        <v>94</v>
      </c>
      <c r="R10" s="51"/>
    </row>
    <row r="11" spans="2:18" ht="9">
      <c r="B11" s="36">
        <v>1</v>
      </c>
      <c r="C11" s="36">
        <v>2</v>
      </c>
      <c r="D11" s="36">
        <v>3</v>
      </c>
      <c r="E11" s="36">
        <v>4</v>
      </c>
      <c r="F11" s="36">
        <v>5</v>
      </c>
      <c r="G11" s="36">
        <v>6</v>
      </c>
      <c r="H11" s="36">
        <v>7</v>
      </c>
      <c r="I11" s="36">
        <v>8</v>
      </c>
      <c r="J11" s="36">
        <v>9</v>
      </c>
      <c r="K11" s="36">
        <v>10</v>
      </c>
      <c r="L11" s="36">
        <v>11</v>
      </c>
      <c r="M11" s="36">
        <v>12</v>
      </c>
      <c r="N11" s="36">
        <v>13</v>
      </c>
      <c r="O11" s="36">
        <v>14</v>
      </c>
      <c r="P11" s="36">
        <v>15</v>
      </c>
      <c r="Q11" s="36">
        <v>16</v>
      </c>
      <c r="R11" s="51"/>
    </row>
    <row r="12" spans="2:18" ht="9">
      <c r="B12" s="36"/>
      <c r="C12" s="36"/>
      <c r="D12" s="36"/>
      <c r="E12" s="36"/>
      <c r="F12" s="52"/>
      <c r="G12" s="52"/>
      <c r="H12" s="52"/>
      <c r="I12" s="121"/>
      <c r="J12" s="52"/>
      <c r="K12" s="52"/>
      <c r="L12" s="122"/>
      <c r="M12" s="52"/>
      <c r="N12" s="52"/>
      <c r="O12" s="52"/>
      <c r="P12" s="52"/>
      <c r="Q12" s="52"/>
      <c r="R12" s="51"/>
    </row>
    <row r="13" spans="2:18" ht="9">
      <c r="B13" s="52"/>
      <c r="C13" s="52"/>
      <c r="D13" s="40" t="s">
        <v>50</v>
      </c>
      <c r="E13" s="52"/>
      <c r="F13" s="52"/>
      <c r="G13" s="55"/>
      <c r="H13" s="55"/>
      <c r="I13" s="55"/>
      <c r="J13" s="55"/>
      <c r="K13" s="55"/>
      <c r="L13" s="55"/>
      <c r="M13" s="55"/>
      <c r="N13" s="55"/>
      <c r="O13" s="55"/>
      <c r="P13" s="55"/>
      <c r="Q13" s="55"/>
      <c r="R13" s="54"/>
    </row>
    <row r="14" spans="2:18" ht="9">
      <c r="B14" s="52">
        <v>1</v>
      </c>
      <c r="C14" s="52"/>
      <c r="D14" s="123" t="s">
        <v>102</v>
      </c>
      <c r="E14" s="52" t="s">
        <v>47</v>
      </c>
      <c r="F14" s="34">
        <v>800</v>
      </c>
      <c r="G14" s="75">
        <v>0.1</v>
      </c>
      <c r="H14" s="75">
        <v>8.5</v>
      </c>
      <c r="I14" s="75">
        <f>H14*G14</f>
        <v>0.8500000000000001</v>
      </c>
      <c r="J14" s="75">
        <v>0.05</v>
      </c>
      <c r="K14" s="77">
        <v>0.8</v>
      </c>
      <c r="L14" s="75">
        <f>SUM(I14:K14)</f>
        <v>1.7000000000000002</v>
      </c>
      <c r="M14" s="75">
        <f>F14*G14</f>
        <v>80</v>
      </c>
      <c r="N14" s="75">
        <f>F14*I14</f>
        <v>680.0000000000001</v>
      </c>
      <c r="O14" s="75">
        <f>J14*F14</f>
        <v>40</v>
      </c>
      <c r="P14" s="75">
        <f>K14*F14</f>
        <v>640</v>
      </c>
      <c r="Q14" s="75">
        <f>SUM(N14:P14)</f>
        <v>1360</v>
      </c>
      <c r="R14" s="54"/>
    </row>
    <row r="15" spans="2:18" ht="18.75">
      <c r="B15" s="52">
        <v>2</v>
      </c>
      <c r="C15" s="52"/>
      <c r="D15" s="123" t="s">
        <v>192</v>
      </c>
      <c r="E15" s="52" t="s">
        <v>47</v>
      </c>
      <c r="F15" s="34">
        <f>F14</f>
        <v>800</v>
      </c>
      <c r="G15" s="75">
        <v>0.4</v>
      </c>
      <c r="H15" s="75">
        <v>8.5</v>
      </c>
      <c r="I15" s="75">
        <f>H15*G15</f>
        <v>3.4000000000000004</v>
      </c>
      <c r="J15" s="75"/>
      <c r="K15" s="77">
        <f aca="true" t="shared" si="0" ref="K15:K26">0.09*I15</f>
        <v>0.306</v>
      </c>
      <c r="L15" s="75">
        <f>SUM(I15:K15)</f>
        <v>3.7060000000000004</v>
      </c>
      <c r="M15" s="75">
        <f>F15*G15</f>
        <v>320</v>
      </c>
      <c r="N15" s="75">
        <f>F15*I15</f>
        <v>2720.0000000000005</v>
      </c>
      <c r="O15" s="75">
        <f>J15*F15</f>
        <v>0</v>
      </c>
      <c r="P15" s="75">
        <f>K15*F15</f>
        <v>244.79999999999998</v>
      </c>
      <c r="Q15" s="75">
        <f>SUM(N15:P15)</f>
        <v>2964.8000000000006</v>
      </c>
      <c r="R15" s="54"/>
    </row>
    <row r="16" spans="2:18" ht="9">
      <c r="B16" s="52"/>
      <c r="C16" s="52"/>
      <c r="D16" s="35" t="s">
        <v>214</v>
      </c>
      <c r="E16" s="52" t="s">
        <v>54</v>
      </c>
      <c r="F16" s="34">
        <f>F15*1.1</f>
        <v>880.0000000000001</v>
      </c>
      <c r="G16" s="75"/>
      <c r="H16" s="75"/>
      <c r="I16" s="75"/>
      <c r="J16" s="75">
        <v>3.4</v>
      </c>
      <c r="K16" s="77">
        <f t="shared" si="0"/>
        <v>0</v>
      </c>
      <c r="L16" s="75">
        <f>SUM(I16:K16)</f>
        <v>3.4</v>
      </c>
      <c r="M16" s="75">
        <f>F16*G16</f>
        <v>0</v>
      </c>
      <c r="N16" s="75">
        <f>F16*I16</f>
        <v>0</v>
      </c>
      <c r="O16" s="75">
        <f>J16*F16</f>
        <v>2992.0000000000005</v>
      </c>
      <c r="P16" s="75">
        <f>K16*F16</f>
        <v>0</v>
      </c>
      <c r="Q16" s="75">
        <f>SUM(N16:P16)</f>
        <v>2992.0000000000005</v>
      </c>
      <c r="R16" s="54"/>
    </row>
    <row r="17" spans="2:18" ht="9">
      <c r="B17" s="52"/>
      <c r="C17" s="52"/>
      <c r="D17" s="35" t="s">
        <v>215</v>
      </c>
      <c r="E17" s="52" t="s">
        <v>54</v>
      </c>
      <c r="F17" s="34">
        <f>F15*1.1</f>
        <v>880.0000000000001</v>
      </c>
      <c r="G17" s="75"/>
      <c r="H17" s="75"/>
      <c r="I17" s="75"/>
      <c r="J17" s="75">
        <v>7.2</v>
      </c>
      <c r="K17" s="77">
        <f>0.09*I17</f>
        <v>0</v>
      </c>
      <c r="L17" s="75">
        <f>SUM(I17:K17)</f>
        <v>7.2</v>
      </c>
      <c r="M17" s="75">
        <f>F17*G17</f>
        <v>0</v>
      </c>
      <c r="N17" s="75">
        <f>F17*I17</f>
        <v>0</v>
      </c>
      <c r="O17" s="75">
        <f>J17*F17</f>
        <v>6336.000000000001</v>
      </c>
      <c r="P17" s="75">
        <f>K17*F17</f>
        <v>0</v>
      </c>
      <c r="Q17" s="75">
        <f>SUM(N17:P17)</f>
        <v>6336.000000000001</v>
      </c>
      <c r="R17" s="54"/>
    </row>
    <row r="18" spans="2:18" ht="9">
      <c r="B18" s="52"/>
      <c r="C18" s="52"/>
      <c r="D18" s="35" t="s">
        <v>164</v>
      </c>
      <c r="E18" s="52" t="s">
        <v>47</v>
      </c>
      <c r="F18" s="34">
        <f>F15*1.2</f>
        <v>960</v>
      </c>
      <c r="G18" s="75"/>
      <c r="H18" s="75">
        <v>8.5</v>
      </c>
      <c r="I18" s="75">
        <f>ROUND(H18*G18,2)</f>
        <v>0</v>
      </c>
      <c r="J18" s="75">
        <v>0.65</v>
      </c>
      <c r="K18" s="77">
        <f t="shared" si="0"/>
        <v>0</v>
      </c>
      <c r="L18" s="75">
        <f>SUM(I18:K18)</f>
        <v>0.65</v>
      </c>
      <c r="M18" s="75">
        <f>F18*G18</f>
        <v>0</v>
      </c>
      <c r="N18" s="75">
        <f>F18*I18</f>
        <v>0</v>
      </c>
      <c r="O18" s="75">
        <f>J18*F18</f>
        <v>624</v>
      </c>
      <c r="P18" s="75">
        <f>K18*F18</f>
        <v>0</v>
      </c>
      <c r="Q18" s="75">
        <f>SUM(N18:P18)</f>
        <v>624</v>
      </c>
      <c r="R18" s="54"/>
    </row>
    <row r="19" spans="2:18" ht="18.75">
      <c r="B19" s="52">
        <v>3</v>
      </c>
      <c r="C19" s="52"/>
      <c r="D19" s="30" t="s">
        <v>193</v>
      </c>
      <c r="E19" s="52" t="s">
        <v>47</v>
      </c>
      <c r="F19" s="34">
        <v>90</v>
      </c>
      <c r="G19" s="75">
        <v>1.2</v>
      </c>
      <c r="H19" s="75">
        <v>8.5</v>
      </c>
      <c r="I19" s="75">
        <f>H19*G19</f>
        <v>10.2</v>
      </c>
      <c r="J19" s="75"/>
      <c r="K19" s="77">
        <f t="shared" si="0"/>
        <v>0.9179999999999999</v>
      </c>
      <c r="L19" s="75">
        <f aca="true" t="shared" si="1" ref="L19:L25">SUM(I19:K19)</f>
        <v>11.117999999999999</v>
      </c>
      <c r="M19" s="75">
        <f aca="true" t="shared" si="2" ref="M19:M25">F19*G19</f>
        <v>108</v>
      </c>
      <c r="N19" s="75">
        <f aca="true" t="shared" si="3" ref="N19:N25">F19*I19</f>
        <v>917.9999999999999</v>
      </c>
      <c r="O19" s="75">
        <f aca="true" t="shared" si="4" ref="O19:O25">J19*F19</f>
        <v>0</v>
      </c>
      <c r="P19" s="75">
        <f aca="true" t="shared" si="5" ref="P19:P25">K19*F19</f>
        <v>82.61999999999999</v>
      </c>
      <c r="Q19" s="75">
        <f aca="true" t="shared" si="6" ref="Q19:Q25">SUM(N19:P19)</f>
        <v>1000.6199999999999</v>
      </c>
      <c r="R19" s="54"/>
    </row>
    <row r="20" spans="2:18" ht="9">
      <c r="B20" s="52"/>
      <c r="C20" s="52"/>
      <c r="D20" s="35" t="s">
        <v>103</v>
      </c>
      <c r="E20" s="52" t="s">
        <v>47</v>
      </c>
      <c r="F20" s="34">
        <f>F19*1.1</f>
        <v>99.00000000000001</v>
      </c>
      <c r="G20" s="75"/>
      <c r="H20" s="75"/>
      <c r="I20" s="75"/>
      <c r="J20" s="75">
        <v>21.5</v>
      </c>
      <c r="K20" s="77">
        <f t="shared" si="0"/>
        <v>0</v>
      </c>
      <c r="L20" s="75">
        <f t="shared" si="1"/>
        <v>21.5</v>
      </c>
      <c r="M20" s="75">
        <f t="shared" si="2"/>
        <v>0</v>
      </c>
      <c r="N20" s="75">
        <f t="shared" si="3"/>
        <v>0</v>
      </c>
      <c r="O20" s="75">
        <f t="shared" si="4"/>
        <v>2128.5000000000005</v>
      </c>
      <c r="P20" s="75">
        <f t="shared" si="5"/>
        <v>0</v>
      </c>
      <c r="Q20" s="75">
        <f t="shared" si="6"/>
        <v>2128.5000000000005</v>
      </c>
      <c r="R20" s="54"/>
    </row>
    <row r="21" spans="2:18" ht="9">
      <c r="B21" s="52"/>
      <c r="C21" s="52"/>
      <c r="D21" s="58" t="s">
        <v>73</v>
      </c>
      <c r="E21" s="33" t="s">
        <v>47</v>
      </c>
      <c r="F21" s="59">
        <f>F19</f>
        <v>90</v>
      </c>
      <c r="G21" s="39">
        <v>0</v>
      </c>
      <c r="H21" s="39"/>
      <c r="I21" s="39">
        <f>ROUND(G21*H21,2)</f>
        <v>0</v>
      </c>
      <c r="J21" s="39">
        <v>0.57</v>
      </c>
      <c r="K21" s="39">
        <f t="shared" si="0"/>
        <v>0</v>
      </c>
      <c r="L21" s="39">
        <f t="shared" si="1"/>
        <v>0.57</v>
      </c>
      <c r="M21" s="39">
        <f t="shared" si="2"/>
        <v>0</v>
      </c>
      <c r="N21" s="39">
        <f t="shared" si="3"/>
        <v>0</v>
      </c>
      <c r="O21" s="39">
        <f t="shared" si="4"/>
        <v>51.3</v>
      </c>
      <c r="P21" s="39">
        <f t="shared" si="5"/>
        <v>0</v>
      </c>
      <c r="Q21" s="39">
        <f t="shared" si="6"/>
        <v>51.3</v>
      </c>
      <c r="R21" s="54"/>
    </row>
    <row r="22" spans="2:18" ht="9">
      <c r="B22" s="52"/>
      <c r="C22" s="52"/>
      <c r="D22" s="58" t="s">
        <v>104</v>
      </c>
      <c r="E22" s="32" t="s">
        <v>51</v>
      </c>
      <c r="F22" s="37">
        <f>F19*6</f>
        <v>540</v>
      </c>
      <c r="G22" s="38"/>
      <c r="H22" s="38"/>
      <c r="I22" s="38"/>
      <c r="J22" s="38">
        <v>0.25</v>
      </c>
      <c r="K22" s="39">
        <f t="shared" si="0"/>
        <v>0</v>
      </c>
      <c r="L22" s="39">
        <f t="shared" si="1"/>
        <v>0.25</v>
      </c>
      <c r="M22" s="39">
        <f t="shared" si="2"/>
        <v>0</v>
      </c>
      <c r="N22" s="39">
        <f t="shared" si="3"/>
        <v>0</v>
      </c>
      <c r="O22" s="39">
        <f t="shared" si="4"/>
        <v>135</v>
      </c>
      <c r="P22" s="39">
        <f t="shared" si="5"/>
        <v>0</v>
      </c>
      <c r="Q22" s="39">
        <f t="shared" si="6"/>
        <v>135</v>
      </c>
      <c r="R22" s="54"/>
    </row>
    <row r="23" spans="2:18" ht="9">
      <c r="B23" s="52">
        <v>4</v>
      </c>
      <c r="C23" s="52"/>
      <c r="D23" s="30" t="s">
        <v>101</v>
      </c>
      <c r="E23" s="52" t="s">
        <v>47</v>
      </c>
      <c r="F23" s="34">
        <f>F19</f>
        <v>90</v>
      </c>
      <c r="G23" s="75">
        <v>0.8</v>
      </c>
      <c r="H23" s="75">
        <v>8.5</v>
      </c>
      <c r="I23" s="39">
        <f>ROUND(G23*H23,2)</f>
        <v>6.8</v>
      </c>
      <c r="J23" s="75"/>
      <c r="K23" s="77">
        <f t="shared" si="0"/>
        <v>0.612</v>
      </c>
      <c r="L23" s="75">
        <f t="shared" si="1"/>
        <v>7.412</v>
      </c>
      <c r="M23" s="75">
        <f t="shared" si="2"/>
        <v>72</v>
      </c>
      <c r="N23" s="75">
        <f t="shared" si="3"/>
        <v>612</v>
      </c>
      <c r="O23" s="75">
        <f t="shared" si="4"/>
        <v>0</v>
      </c>
      <c r="P23" s="75">
        <f t="shared" si="5"/>
        <v>55.08</v>
      </c>
      <c r="Q23" s="75">
        <f t="shared" si="6"/>
        <v>667.08</v>
      </c>
      <c r="R23" s="54"/>
    </row>
    <row r="24" spans="2:18" ht="9">
      <c r="B24" s="52"/>
      <c r="C24" s="52"/>
      <c r="D24" s="58" t="s">
        <v>105</v>
      </c>
      <c r="E24" s="32" t="s">
        <v>51</v>
      </c>
      <c r="F24" s="59">
        <f>F23*6</f>
        <v>540</v>
      </c>
      <c r="G24" s="39">
        <v>0</v>
      </c>
      <c r="H24" s="39"/>
      <c r="I24" s="39">
        <f>ROUND(G24*H24,2)</f>
        <v>0</v>
      </c>
      <c r="J24" s="39">
        <v>0.16</v>
      </c>
      <c r="K24" s="39">
        <f t="shared" si="0"/>
        <v>0</v>
      </c>
      <c r="L24" s="39">
        <f t="shared" si="1"/>
        <v>0.16</v>
      </c>
      <c r="M24" s="39">
        <f t="shared" si="2"/>
        <v>0</v>
      </c>
      <c r="N24" s="39">
        <f t="shared" si="3"/>
        <v>0</v>
      </c>
      <c r="O24" s="39">
        <f t="shared" si="4"/>
        <v>86.4</v>
      </c>
      <c r="P24" s="39">
        <f t="shared" si="5"/>
        <v>0</v>
      </c>
      <c r="Q24" s="39">
        <f t="shared" si="6"/>
        <v>86.4</v>
      </c>
      <c r="R24" s="54"/>
    </row>
    <row r="25" spans="2:18" ht="9">
      <c r="B25" s="52"/>
      <c r="C25" s="52"/>
      <c r="D25" s="124" t="s">
        <v>52</v>
      </c>
      <c r="E25" s="52" t="s">
        <v>47</v>
      </c>
      <c r="F25" s="34">
        <f>F23*1.15</f>
        <v>103.49999999999999</v>
      </c>
      <c r="G25" s="75"/>
      <c r="H25" s="75"/>
      <c r="I25" s="75"/>
      <c r="J25" s="75">
        <v>0.37</v>
      </c>
      <c r="K25" s="77">
        <f t="shared" si="0"/>
        <v>0</v>
      </c>
      <c r="L25" s="75">
        <f t="shared" si="1"/>
        <v>0.37</v>
      </c>
      <c r="M25" s="75">
        <f t="shared" si="2"/>
        <v>0</v>
      </c>
      <c r="N25" s="75">
        <f t="shared" si="3"/>
        <v>0</v>
      </c>
      <c r="O25" s="75">
        <f t="shared" si="4"/>
        <v>38.294999999999995</v>
      </c>
      <c r="P25" s="75">
        <f t="shared" si="5"/>
        <v>0</v>
      </c>
      <c r="Q25" s="75">
        <f t="shared" si="6"/>
        <v>38.294999999999995</v>
      </c>
      <c r="R25" s="54"/>
    </row>
    <row r="26" spans="2:18" ht="9">
      <c r="B26" s="52">
        <v>5</v>
      </c>
      <c r="C26" s="52"/>
      <c r="D26" s="123" t="s">
        <v>194</v>
      </c>
      <c r="E26" s="52" t="s">
        <v>48</v>
      </c>
      <c r="F26" s="34">
        <v>185</v>
      </c>
      <c r="G26" s="75">
        <v>2</v>
      </c>
      <c r="H26" s="75">
        <v>8.5</v>
      </c>
      <c r="I26" s="75">
        <f>H26*G26</f>
        <v>17</v>
      </c>
      <c r="J26" s="75"/>
      <c r="K26" s="77">
        <f t="shared" si="0"/>
        <v>1.53</v>
      </c>
      <c r="L26" s="75">
        <f aca="true" t="shared" si="7" ref="L26:L32">SUM(I26:K26)</f>
        <v>18.53</v>
      </c>
      <c r="M26" s="75">
        <f aca="true" t="shared" si="8" ref="M26:M32">F26*G26</f>
        <v>370</v>
      </c>
      <c r="N26" s="75">
        <f aca="true" t="shared" si="9" ref="N26:N32">F26*I26</f>
        <v>3145</v>
      </c>
      <c r="O26" s="75">
        <f aca="true" t="shared" si="10" ref="O26:O32">J26*F26</f>
        <v>0</v>
      </c>
      <c r="P26" s="75">
        <f aca="true" t="shared" si="11" ref="P26:P32">K26*F26</f>
        <v>283.05</v>
      </c>
      <c r="Q26" s="75">
        <f aca="true" t="shared" si="12" ref="Q26:Q32">SUM(N26:P26)</f>
        <v>3428.05</v>
      </c>
      <c r="R26" s="54"/>
    </row>
    <row r="27" spans="2:18" ht="28.5">
      <c r="B27" s="52"/>
      <c r="C27" s="52"/>
      <c r="D27" s="35" t="s">
        <v>195</v>
      </c>
      <c r="E27" s="52" t="s">
        <v>48</v>
      </c>
      <c r="F27" s="34">
        <f>F26</f>
        <v>185</v>
      </c>
      <c r="G27" s="75"/>
      <c r="H27" s="75"/>
      <c r="I27" s="75">
        <f>H27*G27</f>
        <v>0</v>
      </c>
      <c r="J27" s="75">
        <v>21.5</v>
      </c>
      <c r="K27" s="77">
        <v>30</v>
      </c>
      <c r="L27" s="75">
        <f t="shared" si="7"/>
        <v>51.5</v>
      </c>
      <c r="M27" s="75">
        <f t="shared" si="8"/>
        <v>0</v>
      </c>
      <c r="N27" s="75">
        <f t="shared" si="9"/>
        <v>0</v>
      </c>
      <c r="O27" s="75">
        <f t="shared" si="10"/>
        <v>3977.5</v>
      </c>
      <c r="P27" s="75">
        <f t="shared" si="11"/>
        <v>5550</v>
      </c>
      <c r="Q27" s="75">
        <f t="shared" si="12"/>
        <v>9527.5</v>
      </c>
      <c r="R27" s="54"/>
    </row>
    <row r="28" spans="2:18" ht="18.75">
      <c r="B28" s="52">
        <v>6</v>
      </c>
      <c r="C28" s="52"/>
      <c r="D28" s="30" t="s">
        <v>199</v>
      </c>
      <c r="E28" s="52" t="s">
        <v>99</v>
      </c>
      <c r="F28" s="34">
        <v>25</v>
      </c>
      <c r="G28" s="75">
        <v>3</v>
      </c>
      <c r="H28" s="75">
        <v>8.5</v>
      </c>
      <c r="I28" s="75">
        <f>H28*G28</f>
        <v>25.5</v>
      </c>
      <c r="J28" s="75">
        <v>35.5</v>
      </c>
      <c r="K28" s="77">
        <f>0.09*I28</f>
        <v>2.295</v>
      </c>
      <c r="L28" s="75">
        <f t="shared" si="7"/>
        <v>63.295</v>
      </c>
      <c r="M28" s="75">
        <f t="shared" si="8"/>
        <v>75</v>
      </c>
      <c r="N28" s="75">
        <f t="shared" si="9"/>
        <v>637.5</v>
      </c>
      <c r="O28" s="75">
        <f t="shared" si="10"/>
        <v>887.5</v>
      </c>
      <c r="P28" s="75">
        <f t="shared" si="11"/>
        <v>57.375</v>
      </c>
      <c r="Q28" s="75">
        <f t="shared" si="12"/>
        <v>1582.375</v>
      </c>
      <c r="R28" s="54"/>
    </row>
    <row r="29" spans="2:18" ht="18.75">
      <c r="B29" s="52">
        <v>7</v>
      </c>
      <c r="C29" s="52"/>
      <c r="D29" s="107" t="s">
        <v>201</v>
      </c>
      <c r="E29" s="60" t="s">
        <v>98</v>
      </c>
      <c r="F29" s="67">
        <v>5</v>
      </c>
      <c r="G29" s="79">
        <v>15</v>
      </c>
      <c r="H29" s="79">
        <v>8.5</v>
      </c>
      <c r="I29" s="79">
        <f>ROUND(H29*G29,2)</f>
        <v>127.5</v>
      </c>
      <c r="J29" s="79"/>
      <c r="K29" s="108">
        <f>0.09*I29</f>
        <v>11.475</v>
      </c>
      <c r="L29" s="79">
        <f t="shared" si="7"/>
        <v>138.975</v>
      </c>
      <c r="M29" s="79">
        <f t="shared" si="8"/>
        <v>75</v>
      </c>
      <c r="N29" s="79">
        <f t="shared" si="9"/>
        <v>637.5</v>
      </c>
      <c r="O29" s="79">
        <f t="shared" si="10"/>
        <v>0</v>
      </c>
      <c r="P29" s="79">
        <f t="shared" si="11"/>
        <v>57.375</v>
      </c>
      <c r="Q29" s="75">
        <f t="shared" si="12"/>
        <v>694.875</v>
      </c>
      <c r="R29" s="54"/>
    </row>
    <row r="30" spans="2:18" ht="9">
      <c r="B30" s="52"/>
      <c r="C30" s="52"/>
      <c r="D30" s="112" t="s">
        <v>202</v>
      </c>
      <c r="E30" s="52" t="s">
        <v>98</v>
      </c>
      <c r="F30" s="34">
        <f>F29</f>
        <v>5</v>
      </c>
      <c r="G30" s="75"/>
      <c r="H30" s="75"/>
      <c r="I30" s="75">
        <f>ROUND(H30*G30,2)</f>
        <v>0</v>
      </c>
      <c r="J30" s="75">
        <v>15</v>
      </c>
      <c r="K30" s="75">
        <f>0.09*I30</f>
        <v>0</v>
      </c>
      <c r="L30" s="75">
        <f t="shared" si="7"/>
        <v>15</v>
      </c>
      <c r="M30" s="75">
        <f t="shared" si="8"/>
        <v>0</v>
      </c>
      <c r="N30" s="75">
        <f t="shared" si="9"/>
        <v>0</v>
      </c>
      <c r="O30" s="75">
        <f t="shared" si="10"/>
        <v>75</v>
      </c>
      <c r="P30" s="75">
        <f t="shared" si="11"/>
        <v>0</v>
      </c>
      <c r="Q30" s="75">
        <f t="shared" si="12"/>
        <v>75</v>
      </c>
      <c r="R30" s="54"/>
    </row>
    <row r="31" spans="2:18" ht="18.75">
      <c r="B31" s="52"/>
      <c r="C31" s="52"/>
      <c r="D31" s="35" t="s">
        <v>213</v>
      </c>
      <c r="E31" s="52" t="s">
        <v>98</v>
      </c>
      <c r="F31" s="34">
        <f>F29</f>
        <v>5</v>
      </c>
      <c r="G31" s="75"/>
      <c r="H31" s="75"/>
      <c r="I31" s="75">
        <f>ROUND(H31*G31,2)</f>
        <v>0</v>
      </c>
      <c r="J31" s="75">
        <v>450</v>
      </c>
      <c r="K31" s="75">
        <f>0.09*I31</f>
        <v>0</v>
      </c>
      <c r="L31" s="75">
        <f t="shared" si="7"/>
        <v>450</v>
      </c>
      <c r="M31" s="75">
        <f t="shared" si="8"/>
        <v>0</v>
      </c>
      <c r="N31" s="75">
        <f t="shared" si="9"/>
        <v>0</v>
      </c>
      <c r="O31" s="75">
        <f t="shared" si="10"/>
        <v>2250</v>
      </c>
      <c r="P31" s="75">
        <f t="shared" si="11"/>
        <v>0</v>
      </c>
      <c r="Q31" s="75">
        <f t="shared" si="12"/>
        <v>2250</v>
      </c>
      <c r="R31" s="54"/>
    </row>
    <row r="32" spans="2:18" ht="28.5">
      <c r="B32" s="52">
        <v>8</v>
      </c>
      <c r="C32" s="52"/>
      <c r="D32" s="30" t="s">
        <v>203</v>
      </c>
      <c r="E32" s="52" t="s">
        <v>152</v>
      </c>
      <c r="F32" s="34">
        <f>F29</f>
        <v>5</v>
      </c>
      <c r="G32" s="79">
        <v>6</v>
      </c>
      <c r="H32" s="79">
        <v>8.5</v>
      </c>
      <c r="I32" s="79">
        <f>ROUND(H32*G32,2)</f>
        <v>51</v>
      </c>
      <c r="J32" s="79">
        <v>25</v>
      </c>
      <c r="K32" s="79">
        <f>0.09*I32</f>
        <v>4.59</v>
      </c>
      <c r="L32" s="79">
        <f t="shared" si="7"/>
        <v>80.59</v>
      </c>
      <c r="M32" s="79">
        <f t="shared" si="8"/>
        <v>30</v>
      </c>
      <c r="N32" s="79">
        <f t="shared" si="9"/>
        <v>255</v>
      </c>
      <c r="O32" s="79">
        <f t="shared" si="10"/>
        <v>125</v>
      </c>
      <c r="P32" s="79">
        <f t="shared" si="11"/>
        <v>22.95</v>
      </c>
      <c r="Q32" s="75">
        <f t="shared" si="12"/>
        <v>402.95</v>
      </c>
      <c r="R32" s="54"/>
    </row>
    <row r="33" spans="2:18" ht="9">
      <c r="B33" s="52"/>
      <c r="C33" s="52"/>
      <c r="D33" s="35"/>
      <c r="E33" s="52"/>
      <c r="F33" s="34"/>
      <c r="G33" s="75"/>
      <c r="H33" s="75"/>
      <c r="I33" s="75"/>
      <c r="J33" s="75"/>
      <c r="K33" s="77"/>
      <c r="L33" s="75"/>
      <c r="M33" s="75"/>
      <c r="N33" s="75"/>
      <c r="O33" s="75"/>
      <c r="P33" s="75"/>
      <c r="Q33" s="75"/>
      <c r="R33" s="54"/>
    </row>
    <row r="34" spans="2:18" ht="9">
      <c r="B34" s="52"/>
      <c r="C34" s="52"/>
      <c r="D34" s="40" t="s">
        <v>204</v>
      </c>
      <c r="E34" s="52"/>
      <c r="F34" s="34"/>
      <c r="G34" s="75"/>
      <c r="H34" s="75"/>
      <c r="I34" s="75"/>
      <c r="J34" s="75"/>
      <c r="K34" s="77"/>
      <c r="L34" s="75"/>
      <c r="M34" s="75"/>
      <c r="N34" s="75"/>
      <c r="O34" s="75"/>
      <c r="P34" s="75"/>
      <c r="Q34" s="75"/>
      <c r="R34" s="54"/>
    </row>
    <row r="35" spans="2:18" ht="18.75">
      <c r="B35" s="52">
        <v>1</v>
      </c>
      <c r="C35" s="52"/>
      <c r="D35" s="30" t="s">
        <v>208</v>
      </c>
      <c r="E35" s="52" t="s">
        <v>47</v>
      </c>
      <c r="F35" s="34">
        <v>48</v>
      </c>
      <c r="G35" s="75">
        <v>1</v>
      </c>
      <c r="H35" s="75">
        <v>8.5</v>
      </c>
      <c r="I35" s="75">
        <f>H35*G35</f>
        <v>8.5</v>
      </c>
      <c r="J35" s="75"/>
      <c r="K35" s="75">
        <f aca="true" t="shared" si="13" ref="K35:K46">0.09*I35</f>
        <v>0.765</v>
      </c>
      <c r="L35" s="75">
        <f aca="true" t="shared" si="14" ref="L35:L45">SUM(I35:K35)</f>
        <v>9.265</v>
      </c>
      <c r="M35" s="75">
        <f aca="true" t="shared" si="15" ref="M35:M45">F35*G35</f>
        <v>48</v>
      </c>
      <c r="N35" s="75">
        <f aca="true" t="shared" si="16" ref="N35:N45">F35*I35</f>
        <v>408</v>
      </c>
      <c r="O35" s="75">
        <f aca="true" t="shared" si="17" ref="O35:O45">J35*F35</f>
        <v>0</v>
      </c>
      <c r="P35" s="75">
        <f aca="true" t="shared" si="18" ref="P35:P45">K35*F35</f>
        <v>36.72</v>
      </c>
      <c r="Q35" s="75">
        <f aca="true" t="shared" si="19" ref="Q35:Q45">SUM(N35:P35)</f>
        <v>444.72</v>
      </c>
      <c r="R35" s="54"/>
    </row>
    <row r="36" spans="2:18" ht="18.75">
      <c r="B36" s="52"/>
      <c r="C36" s="52"/>
      <c r="D36" s="35" t="s">
        <v>205</v>
      </c>
      <c r="E36" s="52" t="s">
        <v>47</v>
      </c>
      <c r="F36" s="34">
        <f>2040*1.1</f>
        <v>2244</v>
      </c>
      <c r="G36" s="75"/>
      <c r="H36" s="75"/>
      <c r="I36" s="75"/>
      <c r="J36" s="75">
        <v>16.5</v>
      </c>
      <c r="K36" s="75">
        <f t="shared" si="13"/>
        <v>0</v>
      </c>
      <c r="L36" s="75">
        <f t="shared" si="14"/>
        <v>16.5</v>
      </c>
      <c r="M36" s="75">
        <f t="shared" si="15"/>
        <v>0</v>
      </c>
      <c r="N36" s="75">
        <f t="shared" si="16"/>
        <v>0</v>
      </c>
      <c r="O36" s="75">
        <f t="shared" si="17"/>
        <v>37026</v>
      </c>
      <c r="P36" s="75">
        <f t="shared" si="18"/>
        <v>0</v>
      </c>
      <c r="Q36" s="75">
        <f t="shared" si="19"/>
        <v>37026</v>
      </c>
      <c r="R36" s="54"/>
    </row>
    <row r="37" spans="2:18" ht="9">
      <c r="B37" s="52"/>
      <c r="C37" s="52"/>
      <c r="D37" s="58" t="s">
        <v>73</v>
      </c>
      <c r="E37" s="33" t="s">
        <v>47</v>
      </c>
      <c r="F37" s="59">
        <f>F35</f>
        <v>48</v>
      </c>
      <c r="G37" s="39">
        <v>0</v>
      </c>
      <c r="H37" s="39"/>
      <c r="I37" s="39">
        <f>ROUND(G37*H37,2)</f>
        <v>0</v>
      </c>
      <c r="J37" s="39">
        <v>0.57</v>
      </c>
      <c r="K37" s="39">
        <f t="shared" si="13"/>
        <v>0</v>
      </c>
      <c r="L37" s="39">
        <f t="shared" si="14"/>
        <v>0.57</v>
      </c>
      <c r="M37" s="39">
        <f t="shared" si="15"/>
        <v>0</v>
      </c>
      <c r="N37" s="39">
        <f t="shared" si="16"/>
        <v>0</v>
      </c>
      <c r="O37" s="39">
        <f t="shared" si="17"/>
        <v>27.36</v>
      </c>
      <c r="P37" s="39">
        <f t="shared" si="18"/>
        <v>0</v>
      </c>
      <c r="Q37" s="39">
        <f t="shared" si="19"/>
        <v>27.36</v>
      </c>
      <c r="R37" s="54"/>
    </row>
    <row r="38" spans="2:18" ht="9">
      <c r="B38" s="52"/>
      <c r="C38" s="52"/>
      <c r="D38" s="58" t="s">
        <v>111</v>
      </c>
      <c r="E38" s="32" t="s">
        <v>51</v>
      </c>
      <c r="F38" s="37">
        <f>F35*6</f>
        <v>288</v>
      </c>
      <c r="G38" s="38"/>
      <c r="H38" s="38"/>
      <c r="I38" s="38"/>
      <c r="J38" s="38">
        <v>0.25</v>
      </c>
      <c r="K38" s="39">
        <f t="shared" si="13"/>
        <v>0</v>
      </c>
      <c r="L38" s="39">
        <f t="shared" si="14"/>
        <v>0.25</v>
      </c>
      <c r="M38" s="39">
        <f t="shared" si="15"/>
        <v>0</v>
      </c>
      <c r="N38" s="39">
        <f t="shared" si="16"/>
        <v>0</v>
      </c>
      <c r="O38" s="39">
        <f t="shared" si="17"/>
        <v>72</v>
      </c>
      <c r="P38" s="39">
        <f t="shared" si="18"/>
        <v>0</v>
      </c>
      <c r="Q38" s="39">
        <f t="shared" si="19"/>
        <v>72</v>
      </c>
      <c r="R38" s="54"/>
    </row>
    <row r="39" spans="2:18" ht="9">
      <c r="B39" s="52"/>
      <c r="C39" s="52"/>
      <c r="D39" s="58" t="s">
        <v>74</v>
      </c>
      <c r="E39" s="52" t="s">
        <v>98</v>
      </c>
      <c r="F39" s="59">
        <f>F35*6</f>
        <v>288</v>
      </c>
      <c r="G39" s="39">
        <v>0</v>
      </c>
      <c r="H39" s="39"/>
      <c r="I39" s="39">
        <f>ROUND(G39*H39,2)</f>
        <v>0</v>
      </c>
      <c r="J39" s="39">
        <v>0.2</v>
      </c>
      <c r="K39" s="39">
        <f t="shared" si="13"/>
        <v>0</v>
      </c>
      <c r="L39" s="39">
        <f t="shared" si="14"/>
        <v>0.2</v>
      </c>
      <c r="M39" s="39">
        <f t="shared" si="15"/>
        <v>0</v>
      </c>
      <c r="N39" s="39">
        <f t="shared" si="16"/>
        <v>0</v>
      </c>
      <c r="O39" s="39">
        <f t="shared" si="17"/>
        <v>57.6</v>
      </c>
      <c r="P39" s="39">
        <f t="shared" si="18"/>
        <v>0</v>
      </c>
      <c r="Q39" s="39">
        <f t="shared" si="19"/>
        <v>57.6</v>
      </c>
      <c r="R39" s="54"/>
    </row>
    <row r="40" spans="2:18" ht="9">
      <c r="B40" s="52">
        <v>2</v>
      </c>
      <c r="C40" s="52"/>
      <c r="D40" s="30" t="s">
        <v>206</v>
      </c>
      <c r="E40" s="52" t="s">
        <v>47</v>
      </c>
      <c r="F40" s="34">
        <f>F35</f>
        <v>48</v>
      </c>
      <c r="G40" s="75">
        <v>1</v>
      </c>
      <c r="H40" s="75">
        <v>8.5</v>
      </c>
      <c r="I40" s="75">
        <f>H40*G40</f>
        <v>8.5</v>
      </c>
      <c r="J40" s="75"/>
      <c r="K40" s="75">
        <f t="shared" si="13"/>
        <v>0.765</v>
      </c>
      <c r="L40" s="75">
        <f t="shared" si="14"/>
        <v>9.265</v>
      </c>
      <c r="M40" s="75">
        <f t="shared" si="15"/>
        <v>48</v>
      </c>
      <c r="N40" s="75">
        <f t="shared" si="16"/>
        <v>408</v>
      </c>
      <c r="O40" s="75">
        <f t="shared" si="17"/>
        <v>0</v>
      </c>
      <c r="P40" s="75">
        <f t="shared" si="18"/>
        <v>36.72</v>
      </c>
      <c r="Q40" s="75">
        <f t="shared" si="19"/>
        <v>444.72</v>
      </c>
      <c r="R40" s="54"/>
    </row>
    <row r="41" spans="2:18" ht="9">
      <c r="B41" s="52"/>
      <c r="C41" s="52"/>
      <c r="D41" s="58" t="s">
        <v>105</v>
      </c>
      <c r="E41" s="32" t="s">
        <v>51</v>
      </c>
      <c r="F41" s="59">
        <f>F40*6</f>
        <v>288</v>
      </c>
      <c r="G41" s="39">
        <v>0</v>
      </c>
      <c r="H41" s="39"/>
      <c r="I41" s="39">
        <f>ROUND(G41*H41,2)</f>
        <v>0</v>
      </c>
      <c r="J41" s="39">
        <v>0.16</v>
      </c>
      <c r="K41" s="39">
        <f t="shared" si="13"/>
        <v>0</v>
      </c>
      <c r="L41" s="39">
        <f t="shared" si="14"/>
        <v>0.16</v>
      </c>
      <c r="M41" s="39">
        <f t="shared" si="15"/>
        <v>0</v>
      </c>
      <c r="N41" s="39">
        <f t="shared" si="16"/>
        <v>0</v>
      </c>
      <c r="O41" s="39">
        <f t="shared" si="17"/>
        <v>46.08</v>
      </c>
      <c r="P41" s="39">
        <f t="shared" si="18"/>
        <v>0</v>
      </c>
      <c r="Q41" s="39">
        <f t="shared" si="19"/>
        <v>46.08</v>
      </c>
      <c r="R41" s="54"/>
    </row>
    <row r="42" spans="2:18" ht="9">
      <c r="B42" s="52"/>
      <c r="C42" s="52"/>
      <c r="D42" s="35" t="s">
        <v>52</v>
      </c>
      <c r="E42" s="52" t="s">
        <v>47</v>
      </c>
      <c r="F42" s="34">
        <f>F40*1.15+400</f>
        <v>455.2</v>
      </c>
      <c r="G42" s="75"/>
      <c r="H42" s="75"/>
      <c r="I42" s="75"/>
      <c r="J42" s="75">
        <v>0.37</v>
      </c>
      <c r="K42" s="75">
        <f t="shared" si="13"/>
        <v>0</v>
      </c>
      <c r="L42" s="75">
        <f t="shared" si="14"/>
        <v>0.37</v>
      </c>
      <c r="M42" s="75">
        <f t="shared" si="15"/>
        <v>0</v>
      </c>
      <c r="N42" s="75">
        <f t="shared" si="16"/>
        <v>0</v>
      </c>
      <c r="O42" s="75">
        <f t="shared" si="17"/>
        <v>168.424</v>
      </c>
      <c r="P42" s="75">
        <f t="shared" si="18"/>
        <v>0</v>
      </c>
      <c r="Q42" s="75">
        <f t="shared" si="19"/>
        <v>168.424</v>
      </c>
      <c r="R42" s="54"/>
    </row>
    <row r="43" spans="2:18" ht="9">
      <c r="B43" s="52">
        <v>3</v>
      </c>
      <c r="C43" s="52"/>
      <c r="D43" s="30" t="s">
        <v>207</v>
      </c>
      <c r="E43" s="52" t="s">
        <v>47</v>
      </c>
      <c r="F43" s="34">
        <f>F40</f>
        <v>48</v>
      </c>
      <c r="G43" s="75">
        <v>0.8</v>
      </c>
      <c r="H43" s="75">
        <v>8.5</v>
      </c>
      <c r="I43" s="75">
        <f>H43*G43</f>
        <v>6.800000000000001</v>
      </c>
      <c r="J43" s="75">
        <v>0</v>
      </c>
      <c r="K43" s="75">
        <f t="shared" si="13"/>
        <v>0.612</v>
      </c>
      <c r="L43" s="75">
        <f t="shared" si="14"/>
        <v>7.412000000000001</v>
      </c>
      <c r="M43" s="75">
        <f t="shared" si="15"/>
        <v>38.400000000000006</v>
      </c>
      <c r="N43" s="75">
        <f t="shared" si="16"/>
        <v>326.40000000000003</v>
      </c>
      <c r="O43" s="75">
        <f t="shared" si="17"/>
        <v>0</v>
      </c>
      <c r="P43" s="75">
        <f t="shared" si="18"/>
        <v>29.375999999999998</v>
      </c>
      <c r="Q43" s="75">
        <f t="shared" si="19"/>
        <v>355.776</v>
      </c>
      <c r="R43" s="54"/>
    </row>
    <row r="44" spans="2:18" ht="9">
      <c r="B44" s="52"/>
      <c r="C44" s="52"/>
      <c r="D44" s="58" t="s">
        <v>107</v>
      </c>
      <c r="E44" s="32" t="s">
        <v>51</v>
      </c>
      <c r="F44" s="59">
        <f>(F43*4)*1.05</f>
        <v>201.60000000000002</v>
      </c>
      <c r="G44" s="39">
        <v>0</v>
      </c>
      <c r="H44" s="39"/>
      <c r="I44" s="39">
        <f>ROUND(G44*H44,2)</f>
        <v>0</v>
      </c>
      <c r="J44" s="39">
        <v>1.8</v>
      </c>
      <c r="K44" s="75">
        <f t="shared" si="13"/>
        <v>0</v>
      </c>
      <c r="L44" s="39">
        <f t="shared" si="14"/>
        <v>1.8</v>
      </c>
      <c r="M44" s="39">
        <f t="shared" si="15"/>
        <v>0</v>
      </c>
      <c r="N44" s="39">
        <f t="shared" si="16"/>
        <v>0</v>
      </c>
      <c r="O44" s="39">
        <f t="shared" si="17"/>
        <v>362.88000000000005</v>
      </c>
      <c r="P44" s="39">
        <f t="shared" si="18"/>
        <v>0</v>
      </c>
      <c r="Q44" s="39">
        <f t="shared" si="19"/>
        <v>362.88000000000005</v>
      </c>
      <c r="R44" s="54"/>
    </row>
    <row r="45" spans="2:18" ht="9">
      <c r="B45" s="52"/>
      <c r="C45" s="52"/>
      <c r="D45" s="62" t="s">
        <v>106</v>
      </c>
      <c r="E45" s="63" t="s">
        <v>53</v>
      </c>
      <c r="F45" s="64">
        <f>F43*0.25</f>
        <v>12</v>
      </c>
      <c r="G45" s="128">
        <v>0</v>
      </c>
      <c r="H45" s="128"/>
      <c r="I45" s="128">
        <f>ROUND(G45*H45,2)</f>
        <v>0</v>
      </c>
      <c r="J45" s="128">
        <v>1.85</v>
      </c>
      <c r="K45" s="76">
        <f t="shared" si="13"/>
        <v>0</v>
      </c>
      <c r="L45" s="128">
        <f t="shared" si="14"/>
        <v>1.85</v>
      </c>
      <c r="M45" s="128">
        <f t="shared" si="15"/>
        <v>0</v>
      </c>
      <c r="N45" s="128">
        <f t="shared" si="16"/>
        <v>0</v>
      </c>
      <c r="O45" s="128">
        <f t="shared" si="17"/>
        <v>22.200000000000003</v>
      </c>
      <c r="P45" s="128">
        <f t="shared" si="18"/>
        <v>0</v>
      </c>
      <c r="Q45" s="128">
        <f t="shared" si="19"/>
        <v>22.200000000000003</v>
      </c>
      <c r="R45" s="54"/>
    </row>
    <row r="46" spans="2:18" ht="18.75">
      <c r="B46" s="52">
        <v>4</v>
      </c>
      <c r="C46" s="52"/>
      <c r="D46" s="30" t="s">
        <v>209</v>
      </c>
      <c r="E46" s="52" t="s">
        <v>99</v>
      </c>
      <c r="F46" s="34">
        <v>10</v>
      </c>
      <c r="G46" s="75">
        <v>2</v>
      </c>
      <c r="H46" s="75">
        <v>8.5</v>
      </c>
      <c r="I46" s="75">
        <f>H46*G46</f>
        <v>17</v>
      </c>
      <c r="J46" s="75">
        <v>20</v>
      </c>
      <c r="K46" s="77">
        <f t="shared" si="13"/>
        <v>1.53</v>
      </c>
      <c r="L46" s="75">
        <f>SUM(I46:K46)</f>
        <v>38.53</v>
      </c>
      <c r="M46" s="75">
        <f>F46*G46</f>
        <v>20</v>
      </c>
      <c r="N46" s="75">
        <f>F46*I46</f>
        <v>170</v>
      </c>
      <c r="O46" s="75">
        <f>J46*F46</f>
        <v>200</v>
      </c>
      <c r="P46" s="75">
        <f>K46*F46</f>
        <v>15.3</v>
      </c>
      <c r="Q46" s="75">
        <f>SUM(N46:P46)</f>
        <v>385.3</v>
      </c>
      <c r="R46" s="54"/>
    </row>
    <row r="47" spans="2:18" ht="12.75" customHeight="1">
      <c r="B47" s="52"/>
      <c r="C47" s="52"/>
      <c r="D47" s="52"/>
      <c r="E47" s="52"/>
      <c r="F47" s="125"/>
      <c r="G47" s="126"/>
      <c r="H47" s="55"/>
      <c r="I47" s="55"/>
      <c r="J47" s="127"/>
      <c r="K47" s="127"/>
      <c r="L47" s="127"/>
      <c r="M47" s="55"/>
      <c r="N47" s="55"/>
      <c r="O47" s="55"/>
      <c r="P47" s="55"/>
      <c r="Q47" s="55"/>
      <c r="R47" s="54"/>
    </row>
    <row r="48" spans="2:18" ht="9">
      <c r="B48" s="32"/>
      <c r="C48" s="134" t="s">
        <v>81</v>
      </c>
      <c r="D48" s="135"/>
      <c r="E48" s="135"/>
      <c r="F48" s="135"/>
      <c r="G48" s="136"/>
      <c r="H48" s="33"/>
      <c r="I48" s="33"/>
      <c r="J48" s="33"/>
      <c r="K48" s="33"/>
      <c r="L48" s="33"/>
      <c r="M48" s="33">
        <f>SUM(M13:M47)</f>
        <v>1284.4</v>
      </c>
      <c r="N48" s="33">
        <f>SUM(N13:N47)</f>
        <v>10917.4</v>
      </c>
      <c r="O48" s="33">
        <f>SUM(O13:O47)</f>
        <v>57729.039</v>
      </c>
      <c r="P48" s="33">
        <f>SUM(P13:P47)</f>
        <v>7111.366000000001</v>
      </c>
      <c r="Q48" s="33">
        <f>SUM(Q13:Q47)</f>
        <v>75757.80500000001</v>
      </c>
      <c r="R48" s="54"/>
    </row>
    <row r="49" spans="2:18" ht="9">
      <c r="B49" s="68"/>
      <c r="C49" s="68"/>
      <c r="D49" s="69"/>
      <c r="E49" s="68"/>
      <c r="F49" s="70"/>
      <c r="G49" s="71"/>
      <c r="H49" s="70"/>
      <c r="I49" s="70"/>
      <c r="J49" s="70"/>
      <c r="K49" s="71"/>
      <c r="L49" s="70"/>
      <c r="M49" s="69"/>
      <c r="N49" s="70"/>
      <c r="O49" s="70"/>
      <c r="P49" s="70"/>
      <c r="Q49" s="70"/>
      <c r="R49" s="72"/>
    </row>
    <row r="50" spans="4:8" ht="9">
      <c r="D50" s="6" t="s">
        <v>134</v>
      </c>
      <c r="E50" s="116" t="s">
        <v>75</v>
      </c>
      <c r="F50" s="116"/>
      <c r="G50" s="116"/>
      <c r="H50" s="116"/>
    </row>
    <row r="53" spans="4:8" ht="9">
      <c r="D53" s="117" t="s">
        <v>130</v>
      </c>
      <c r="E53" s="119" t="s">
        <v>131</v>
      </c>
      <c r="F53" s="118"/>
      <c r="G53" s="118"/>
      <c r="H53" s="118"/>
    </row>
  </sheetData>
  <sheetProtection selectLockedCells="1" selectUnlockedCells="1"/>
  <mergeCells count="17">
    <mergeCell ref="N6:P6"/>
    <mergeCell ref="N7:Q7"/>
    <mergeCell ref="E4:K4"/>
    <mergeCell ref="B9:B10"/>
    <mergeCell ref="D9:D10"/>
    <mergeCell ref="E9:E10"/>
    <mergeCell ref="F9:F10"/>
    <mergeCell ref="C9:C10"/>
    <mergeCell ref="M9:M10"/>
    <mergeCell ref="N9:Q9"/>
    <mergeCell ref="E3:I3"/>
    <mergeCell ref="E5:G5"/>
    <mergeCell ref="E6:H6"/>
    <mergeCell ref="C48:G48"/>
    <mergeCell ref="G9:G10"/>
    <mergeCell ref="H9:H10"/>
    <mergeCell ref="I9:L9"/>
  </mergeCells>
  <printOptions/>
  <pageMargins left="0" right="0" top="0.5905511811023623" bottom="0.393700787401574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2:Q26"/>
  <sheetViews>
    <sheetView tabSelected="1" zoomScalePageLayoutView="0" workbookViewId="0" topLeftCell="A1">
      <selection activeCell="E18" sqref="E18"/>
    </sheetView>
  </sheetViews>
  <sheetFormatPr defaultColWidth="9.140625" defaultRowHeight="12.75"/>
  <cols>
    <col min="1" max="1" width="0.9921875" style="172" customWidth="1"/>
    <col min="2" max="2" width="7.28125" style="172" customWidth="1"/>
    <col min="3" max="3" width="15.8515625" style="172" customWidth="1"/>
    <col min="4" max="4" width="44.00390625" style="172" customWidth="1"/>
    <col min="5" max="5" width="14.421875" style="172" customWidth="1"/>
    <col min="6" max="6" width="12.7109375" style="172" customWidth="1"/>
    <col min="7" max="7" width="12.57421875" style="172" customWidth="1"/>
    <col min="8" max="8" width="12.140625" style="172" customWidth="1"/>
    <col min="9" max="9" width="11.8515625" style="172" customWidth="1"/>
    <col min="10" max="16384" width="9.140625" style="172" customWidth="1"/>
  </cols>
  <sheetData>
    <row r="2" spans="3:8" ht="11.25">
      <c r="C2" s="178" t="s">
        <v>55</v>
      </c>
      <c r="D2" s="178"/>
      <c r="E2" s="178"/>
      <c r="F2" s="178"/>
      <c r="G2" s="178"/>
      <c r="H2" s="178"/>
    </row>
    <row r="3" spans="3:11" s="174" customFormat="1" ht="11.25">
      <c r="C3" s="179" t="s">
        <v>56</v>
      </c>
      <c r="D3" s="180" t="s">
        <v>137</v>
      </c>
      <c r="E3" s="180"/>
      <c r="F3" s="181"/>
      <c r="G3" s="181"/>
      <c r="H3" s="181"/>
      <c r="I3" s="181"/>
      <c r="J3" s="182"/>
      <c r="K3" s="183"/>
    </row>
    <row r="4" spans="3:11" s="174" customFormat="1" ht="11.25">
      <c r="C4" s="179" t="s">
        <v>57</v>
      </c>
      <c r="D4" s="184"/>
      <c r="E4" s="181"/>
      <c r="F4" s="181"/>
      <c r="G4" s="181"/>
      <c r="H4" s="181"/>
      <c r="I4" s="181"/>
      <c r="J4" s="182"/>
      <c r="K4" s="183"/>
    </row>
    <row r="5" spans="3:4" s="174" customFormat="1" ht="11.25">
      <c r="C5" s="179" t="s">
        <v>2</v>
      </c>
      <c r="D5" s="174" t="s">
        <v>138</v>
      </c>
    </row>
    <row r="6" spans="3:4" s="174" customFormat="1" ht="11.25">
      <c r="C6" s="179" t="s">
        <v>4</v>
      </c>
      <c r="D6" s="174" t="s">
        <v>138</v>
      </c>
    </row>
    <row r="7" spans="3:7" s="174" customFormat="1" ht="12.75" customHeight="1">
      <c r="C7" s="179" t="s">
        <v>58</v>
      </c>
      <c r="D7" s="185" t="s">
        <v>212</v>
      </c>
      <c r="E7" s="185"/>
      <c r="F7" s="185"/>
      <c r="G7" s="185"/>
    </row>
    <row r="8" spans="2:16" s="174" customFormat="1" ht="11.25">
      <c r="B8" s="174" t="s">
        <v>100</v>
      </c>
      <c r="D8" s="181"/>
      <c r="E8" s="181"/>
      <c r="F8" s="181"/>
      <c r="G8" s="181"/>
      <c r="H8" s="181"/>
      <c r="I8" s="181"/>
      <c r="J8" s="182"/>
      <c r="K8" s="183"/>
      <c r="L8" s="183"/>
      <c r="N8" s="183"/>
      <c r="O8" s="183"/>
      <c r="P8" s="186"/>
    </row>
    <row r="9" spans="4:16" s="187" customFormat="1" ht="11.25">
      <c r="D9" s="188"/>
      <c r="E9" s="188"/>
      <c r="F9" s="188"/>
      <c r="G9" s="189" t="s">
        <v>69</v>
      </c>
      <c r="H9" s="190">
        <f>E20</f>
        <v>5391.83</v>
      </c>
      <c r="I9" s="188"/>
      <c r="J9" s="191"/>
      <c r="K9" s="192"/>
      <c r="L9" s="192"/>
      <c r="N9" s="192"/>
      <c r="O9" s="192"/>
      <c r="P9" s="193"/>
    </row>
    <row r="10" spans="4:16" s="187" customFormat="1" ht="11.25">
      <c r="D10" s="188"/>
      <c r="E10" s="188"/>
      <c r="F10" s="188"/>
      <c r="G10" s="189" t="s">
        <v>59</v>
      </c>
      <c r="H10" s="194">
        <f>I17</f>
        <v>3834.0454600000003</v>
      </c>
      <c r="I10" s="188"/>
      <c r="J10" s="191"/>
      <c r="K10" s="192"/>
      <c r="L10" s="192"/>
      <c r="N10" s="192"/>
      <c r="O10" s="192"/>
      <c r="P10" s="193"/>
    </row>
    <row r="11" spans="4:16" s="187" customFormat="1" ht="11.25">
      <c r="D11" s="188"/>
      <c r="E11" s="188"/>
      <c r="F11" s="195" t="s">
        <v>136</v>
      </c>
      <c r="G11" s="195"/>
      <c r="H11" s="195"/>
      <c r="I11" s="195"/>
      <c r="J11" s="172"/>
      <c r="K11" s="192"/>
      <c r="L11" s="192"/>
      <c r="N11" s="192"/>
      <c r="O11" s="192"/>
      <c r="P11" s="193"/>
    </row>
    <row r="13" spans="2:9" ht="22.5">
      <c r="B13" s="196" t="s">
        <v>45</v>
      </c>
      <c r="C13" s="196" t="s">
        <v>60</v>
      </c>
      <c r="D13" s="196" t="s">
        <v>61</v>
      </c>
      <c r="E13" s="196" t="s">
        <v>135</v>
      </c>
      <c r="F13" s="196" t="s">
        <v>70</v>
      </c>
      <c r="G13" s="196" t="s">
        <v>71</v>
      </c>
      <c r="H13" s="196" t="s">
        <v>72</v>
      </c>
      <c r="I13" s="196" t="s">
        <v>62</v>
      </c>
    </row>
    <row r="14" spans="2:9" ht="11.25">
      <c r="B14" s="196">
        <v>1</v>
      </c>
      <c r="C14" s="197" t="str">
        <f>CONCATENATE("Lokālā tāme Nr. ",B14)</f>
        <v>Lokālā tāme Nr. 1</v>
      </c>
      <c r="D14" s="197" t="str">
        <f>Jumts!J2</f>
        <v>Plakanais jumts</v>
      </c>
      <c r="E14" s="198">
        <f>Jumts!Q94</f>
        <v>59037.8617738</v>
      </c>
      <c r="F14" s="198">
        <f>Jumts!N94</f>
        <v>21680.85212</v>
      </c>
      <c r="G14" s="198">
        <f>Jumts!O94</f>
        <v>34222.756</v>
      </c>
      <c r="H14" s="198">
        <f>Jumts!P94</f>
        <v>3134.2536538</v>
      </c>
      <c r="I14" s="198">
        <f>Jumts!M94</f>
        <v>2549.64546</v>
      </c>
    </row>
    <row r="15" spans="2:9" ht="11.25">
      <c r="B15" s="196">
        <v>2</v>
      </c>
      <c r="C15" s="197" t="str">
        <f>CONCATENATE("Lokālā tāme Nr. ",B15)</f>
        <v>Lokālā tāme Nr. 2</v>
      </c>
      <c r="D15" s="197" t="str">
        <f>Bēniņi!D13</f>
        <v>Bēniņi</v>
      </c>
      <c r="E15" s="198">
        <f>SUM(F15:H15)</f>
        <v>75757.805</v>
      </c>
      <c r="F15" s="198">
        <f>Bēniņi!N48</f>
        <v>10917.4</v>
      </c>
      <c r="G15" s="198">
        <f>Bēniņi!O48</f>
        <v>57729.039</v>
      </c>
      <c r="H15" s="198">
        <f>Bēniņi!P48</f>
        <v>7111.366000000001</v>
      </c>
      <c r="I15" s="198">
        <f>Bēniņi!M48</f>
        <v>1284.4</v>
      </c>
    </row>
    <row r="16" spans="2:9" ht="11.25">
      <c r="B16" s="196"/>
      <c r="C16" s="197"/>
      <c r="D16" s="197"/>
      <c r="E16" s="198"/>
      <c r="F16" s="198"/>
      <c r="G16" s="198"/>
      <c r="H16" s="198"/>
      <c r="I16" s="198"/>
    </row>
    <row r="17" spans="2:9" ht="12">
      <c r="B17" s="163"/>
      <c r="C17" s="163"/>
      <c r="D17" s="177" t="s">
        <v>63</v>
      </c>
      <c r="E17" s="171">
        <f>SUM(E14:E15)</f>
        <v>134795.66677379998</v>
      </c>
      <c r="F17" s="171">
        <f>SUM(F14:F15)</f>
        <v>32598.252119999997</v>
      </c>
      <c r="G17" s="171">
        <f>SUM(G14:G15)</f>
        <v>91951.795</v>
      </c>
      <c r="H17" s="171">
        <f>SUM(H14:H15)</f>
        <v>10245.6196538</v>
      </c>
      <c r="I17" s="171">
        <f>SUM(I14:I15)</f>
        <v>3834.0454600000003</v>
      </c>
    </row>
    <row r="18" spans="2:13" s="174" customFormat="1" ht="12">
      <c r="B18" s="163"/>
      <c r="C18" s="164">
        <v>0.07</v>
      </c>
      <c r="D18" s="163" t="s">
        <v>64</v>
      </c>
      <c r="E18" s="165">
        <f>ROUND(E17*C18,2)</f>
        <v>9435.7</v>
      </c>
      <c r="F18" s="165"/>
      <c r="G18" s="165"/>
      <c r="H18" s="165"/>
      <c r="I18" s="165"/>
      <c r="M18" s="181"/>
    </row>
    <row r="19" spans="2:17" s="174" customFormat="1" ht="11.25">
      <c r="B19" s="163"/>
      <c r="C19" s="166">
        <v>0.01</v>
      </c>
      <c r="D19" s="167" t="s">
        <v>219</v>
      </c>
      <c r="E19" s="168">
        <f>ROUND(E18*C19,2)</f>
        <v>94.36</v>
      </c>
      <c r="F19" s="165"/>
      <c r="G19" s="165"/>
      <c r="H19" s="165"/>
      <c r="I19" s="165"/>
      <c r="J19" s="199"/>
      <c r="K19" s="200"/>
      <c r="L19" s="182"/>
      <c r="M19" s="183"/>
      <c r="N19" s="183"/>
      <c r="O19" s="183"/>
      <c r="P19" s="183"/>
      <c r="Q19" s="183"/>
    </row>
    <row r="20" spans="2:17" s="174" customFormat="1" ht="12">
      <c r="B20" s="163"/>
      <c r="C20" s="164">
        <v>0.04</v>
      </c>
      <c r="D20" s="163" t="s">
        <v>65</v>
      </c>
      <c r="E20" s="165">
        <f>ROUND(E17*C20,2)</f>
        <v>5391.83</v>
      </c>
      <c r="F20" s="165"/>
      <c r="G20" s="165"/>
      <c r="H20" s="165"/>
      <c r="I20" s="165"/>
      <c r="J20" s="199"/>
      <c r="K20" s="200"/>
      <c r="L20" s="182"/>
      <c r="M20" s="183"/>
      <c r="N20" s="183"/>
      <c r="O20" s="183"/>
      <c r="P20" s="183"/>
      <c r="Q20" s="183"/>
    </row>
    <row r="21" spans="2:13" s="174" customFormat="1" ht="12">
      <c r="B21" s="163"/>
      <c r="C21" s="169"/>
      <c r="D21" s="170" t="s">
        <v>66</v>
      </c>
      <c r="E21" s="171">
        <f>ROUND(E17+E18+E20,2)</f>
        <v>149623.2</v>
      </c>
      <c r="F21" s="165"/>
      <c r="G21" s="165"/>
      <c r="H21" s="165"/>
      <c r="I21" s="165"/>
      <c r="M21" s="181"/>
    </row>
    <row r="23" spans="3:7" ht="11.25">
      <c r="C23" s="172" t="s">
        <v>220</v>
      </c>
      <c r="E23" s="172" t="s">
        <v>75</v>
      </c>
      <c r="F23" s="173"/>
      <c r="G23" s="174"/>
    </row>
    <row r="26" spans="3:5" ht="11.25">
      <c r="C26" s="175" t="s">
        <v>130</v>
      </c>
      <c r="E26" s="176" t="s">
        <v>131</v>
      </c>
    </row>
  </sheetData>
  <sheetProtection selectLockedCells="1" selectUnlockedCells="1"/>
  <mergeCells count="4">
    <mergeCell ref="C2:H2"/>
    <mergeCell ref="D7:G7"/>
    <mergeCell ref="F11:I11"/>
    <mergeCell ref="D3:E3"/>
  </mergeCells>
  <printOptions/>
  <pageMargins left="0.3937007874015748" right="0" top="0.6299212598425197" bottom="0.6299212598425197" header="0.3937007874015748" footer="0.3937007874015748"/>
  <pageSetup firstPageNumber="1" useFirstPageNumber="1"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B2:Q26"/>
  <sheetViews>
    <sheetView zoomScalePageLayoutView="0" workbookViewId="0" topLeftCell="A1">
      <selection activeCell="A1" sqref="A1:IV16384"/>
    </sheetView>
  </sheetViews>
  <sheetFormatPr defaultColWidth="9.140625" defaultRowHeight="12.75"/>
  <cols>
    <col min="1" max="1" width="4.7109375" style="0" customWidth="1"/>
    <col min="2" max="2" width="9.140625" style="0" customWidth="1"/>
    <col min="3" max="3" width="54.57421875" style="0" customWidth="1"/>
    <col min="4" max="4" width="34.421875" style="0" customWidth="1"/>
  </cols>
  <sheetData>
    <row r="2" ht="12.75">
      <c r="D2" s="24" t="s">
        <v>76</v>
      </c>
    </row>
    <row r="4" ht="12.75">
      <c r="D4" s="18"/>
    </row>
    <row r="5" ht="12.75">
      <c r="D5" s="28" t="s">
        <v>77</v>
      </c>
    </row>
    <row r="7" spans="2:4" ht="12.75">
      <c r="B7" s="144" t="s">
        <v>78</v>
      </c>
      <c r="C7" s="144"/>
      <c r="D7" s="144"/>
    </row>
    <row r="8" spans="2:4" ht="12.75">
      <c r="B8" s="80"/>
      <c r="C8" s="80"/>
      <c r="D8" s="80"/>
    </row>
    <row r="9" spans="3:12" s="17" customFormat="1" ht="12.75">
      <c r="C9" s="18" t="s">
        <v>56</v>
      </c>
      <c r="D9" s="19"/>
      <c r="E9" s="19"/>
      <c r="F9" s="19"/>
      <c r="G9" s="19"/>
      <c r="H9" s="19"/>
      <c r="I9" s="19"/>
      <c r="J9" s="20"/>
      <c r="K9" s="21"/>
      <c r="L9" s="22"/>
    </row>
    <row r="10" spans="3:12" s="17" customFormat="1" ht="12.75">
      <c r="C10" s="18" t="s">
        <v>57</v>
      </c>
      <c r="D10" s="81"/>
      <c r="E10" s="19"/>
      <c r="F10" s="19"/>
      <c r="G10" s="19"/>
      <c r="H10" s="19"/>
      <c r="I10" s="19"/>
      <c r="J10" s="20"/>
      <c r="K10" s="21"/>
      <c r="L10" s="22"/>
    </row>
    <row r="11" spans="3:4" s="23" customFormat="1" ht="39">
      <c r="C11" s="24" t="s">
        <v>2</v>
      </c>
      <c r="D11" s="82" t="str">
        <f>Kopsavilkums!D5</f>
        <v>Dzīvojamās mājas jumta seguma nomaiņa, bēniņu un mazā jumta pārseguma siltināšana</v>
      </c>
    </row>
    <row r="12" spans="3:4" s="23" customFormat="1" ht="39">
      <c r="C12" s="24" t="s">
        <v>4</v>
      </c>
      <c r="D12" s="82" t="str">
        <f>Kopsavilkums!D6</f>
        <v>Dzīvojamās mājas jumta seguma nomaiņa, bēniņu un mazā jumta pārseguma siltināšana</v>
      </c>
    </row>
    <row r="13" spans="2:4" s="23" customFormat="1" ht="12.75" customHeight="1">
      <c r="B13" s="17"/>
      <c r="C13" s="18" t="s">
        <v>58</v>
      </c>
      <c r="D13" s="27" t="str">
        <f>Kopsavilkums!D7</f>
        <v>Daugavpils, Bauskas iela 5</v>
      </c>
    </row>
    <row r="14" spans="4:13" s="17" customFormat="1" ht="12.75">
      <c r="D14" s="19"/>
      <c r="E14" s="19"/>
      <c r="F14" s="19"/>
      <c r="G14" s="19"/>
      <c r="H14" s="19"/>
      <c r="I14" s="19"/>
      <c r="J14" s="25"/>
      <c r="K14" s="21"/>
      <c r="L14" s="22"/>
      <c r="M14" s="22"/>
    </row>
    <row r="15" spans="2:17" s="17" customFormat="1" ht="12.75">
      <c r="B15"/>
      <c r="C15" s="18" t="str">
        <f>Kopsavilkums!B8</f>
        <v>Tāme sastādīta 2018. gada tirgus cenās pamatojoties uz AR daļas rasējumiem.</v>
      </c>
      <c r="D15" s="19"/>
      <c r="E15" s="19"/>
      <c r="F15" s="19"/>
      <c r="G15" s="19"/>
      <c r="H15" s="19"/>
      <c r="I15" s="19"/>
      <c r="J15" s="20"/>
      <c r="K15" s="21"/>
      <c r="L15" s="22"/>
      <c r="M15" s="22"/>
      <c r="O15" s="22"/>
      <c r="P15" s="22"/>
      <c r="Q15" s="26"/>
    </row>
    <row r="17" spans="2:4" ht="12.75">
      <c r="B17" s="13" t="s">
        <v>45</v>
      </c>
      <c r="C17" s="29" t="s">
        <v>79</v>
      </c>
      <c r="D17" s="29" t="s">
        <v>80</v>
      </c>
    </row>
    <row r="18" spans="2:4" ht="39">
      <c r="B18" s="14">
        <v>1</v>
      </c>
      <c r="C18" s="83" t="str">
        <f>CONCATENATE("Daudzdzīvokļu dzīvojamās ēkas fasādes ",D12," vienkāršotā atjaunošana")</f>
        <v>Daudzdzīvokļu dzīvojamās ēkas fasādes Dzīvojamās mājas jumta seguma nomaiņa, bēniņu un mazā jumta pārseguma siltināšana vienkāršotā atjaunošana</v>
      </c>
      <c r="D18" s="15">
        <f>Kopsavilkums!E21</f>
        <v>149623.2</v>
      </c>
    </row>
    <row r="19" spans="2:4" ht="12.75">
      <c r="B19" s="145" t="s">
        <v>67</v>
      </c>
      <c r="C19" s="145"/>
      <c r="D19" s="15">
        <f>SUM(D18)</f>
        <v>149623.2</v>
      </c>
    </row>
    <row r="20" spans="2:4" ht="12.75">
      <c r="B20" s="146"/>
      <c r="C20" s="146"/>
      <c r="D20" s="84"/>
    </row>
    <row r="21" spans="2:4" ht="12.75">
      <c r="B21" s="147">
        <v>0.21</v>
      </c>
      <c r="C21" s="147"/>
      <c r="D21" s="15">
        <f>ROUND(D19*0.21,2)</f>
        <v>31420.87</v>
      </c>
    </row>
    <row r="22" spans="2:4" ht="12.75">
      <c r="B22" s="145" t="s">
        <v>68</v>
      </c>
      <c r="C22" s="145"/>
      <c r="D22" s="85">
        <f>SUM(D19:D21)</f>
        <v>181044.07</v>
      </c>
    </row>
    <row r="24" spans="2:7" ht="12.75">
      <c r="B24" t="s">
        <v>134</v>
      </c>
      <c r="D24" s="16" t="s">
        <v>75</v>
      </c>
      <c r="E24" s="23"/>
      <c r="F24" s="23"/>
      <c r="G24" s="23"/>
    </row>
    <row r="26" spans="2:9" ht="12.75">
      <c r="B26" s="73" t="s">
        <v>133</v>
      </c>
      <c r="C26" s="74"/>
      <c r="D26" s="201" t="s">
        <v>131</v>
      </c>
      <c r="E26" s="202"/>
      <c r="F26" s="202"/>
      <c r="H26" s="202"/>
      <c r="I26" s="202"/>
    </row>
  </sheetData>
  <sheetProtection selectLockedCells="1" selectUnlockedCells="1"/>
  <mergeCells count="5">
    <mergeCell ref="B19:C19"/>
    <mergeCell ref="B20:C20"/>
    <mergeCell ref="B21:C21"/>
    <mergeCell ref="B22:C22"/>
    <mergeCell ref="B7:D7"/>
  </mergeCells>
  <printOptions/>
  <pageMargins left="0.3937007874015748" right="0.3937007874015748" top="0.6299212598425197" bottom="0.6299212598425197" header="0.3937007874015748" footer="0.3937007874015748"/>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B2:J24"/>
  <sheetViews>
    <sheetView zoomScalePageLayoutView="0" workbookViewId="0" topLeftCell="A1">
      <selection activeCell="B7" sqref="B7:J7"/>
    </sheetView>
  </sheetViews>
  <sheetFormatPr defaultColWidth="9.140625" defaultRowHeight="12.75"/>
  <cols>
    <col min="1" max="1" width="0.9921875" style="86" customWidth="1"/>
    <col min="2" max="16384" width="9.140625" style="86" customWidth="1"/>
  </cols>
  <sheetData>
    <row r="1" ht="6" customHeight="1"/>
    <row r="2" spans="2:10" ht="12">
      <c r="B2" s="148" t="s">
        <v>112</v>
      </c>
      <c r="C2" s="148"/>
      <c r="D2" s="148"/>
      <c r="E2" s="148"/>
      <c r="F2" s="148"/>
      <c r="G2" s="148"/>
      <c r="H2" s="148"/>
      <c r="I2" s="148"/>
      <c r="J2" s="148"/>
    </row>
    <row r="3" spans="2:10" ht="27" customHeight="1">
      <c r="B3" s="149" t="str">
        <f>Kopsavilkums!D5</f>
        <v>Dzīvojamās mājas jumta seguma nomaiņa, bēniņu un mazā jumta pārseguma siltināšana</v>
      </c>
      <c r="C3" s="149"/>
      <c r="D3" s="149"/>
      <c r="E3" s="149"/>
      <c r="F3" s="149"/>
      <c r="G3" s="149"/>
      <c r="H3" s="149"/>
      <c r="I3" s="149"/>
      <c r="J3" s="149"/>
    </row>
    <row r="4" spans="2:10" ht="26.25" customHeight="1">
      <c r="B4" s="150" t="s">
        <v>113</v>
      </c>
      <c r="C4" s="150"/>
      <c r="D4" s="151" t="str">
        <f>Kopsavilkums!D5</f>
        <v>Dzīvojamās mājas jumta seguma nomaiņa, bēniņu un mazā jumta pārseguma siltināšana</v>
      </c>
      <c r="E4" s="151"/>
      <c r="F4" s="151"/>
      <c r="G4" s="151"/>
      <c r="H4" s="151"/>
      <c r="I4" s="151"/>
      <c r="J4" s="151"/>
    </row>
    <row r="5" spans="2:10" ht="12">
      <c r="B5" s="150" t="s">
        <v>114</v>
      </c>
      <c r="C5" s="150"/>
      <c r="D5" s="152" t="str">
        <f>Kopsavilkums!D7</f>
        <v>Daugavpils, Bauskas iela 5</v>
      </c>
      <c r="E5" s="153"/>
      <c r="F5" s="153"/>
      <c r="G5" s="153"/>
      <c r="H5" s="153"/>
      <c r="I5" s="153"/>
      <c r="J5" s="153"/>
    </row>
    <row r="6" spans="2:10" ht="160.5" customHeight="1">
      <c r="B6" s="154" t="s">
        <v>221</v>
      </c>
      <c r="C6" s="154"/>
      <c r="D6" s="154"/>
      <c r="E6" s="154"/>
      <c r="F6" s="154"/>
      <c r="G6" s="154"/>
      <c r="H6" s="154"/>
      <c r="I6" s="154"/>
      <c r="J6" s="154"/>
    </row>
    <row r="7" spans="2:10" ht="12">
      <c r="B7" s="155" t="s">
        <v>115</v>
      </c>
      <c r="C7" s="155"/>
      <c r="D7" s="155"/>
      <c r="E7" s="155"/>
      <c r="F7" s="155"/>
      <c r="G7" s="155"/>
      <c r="H7" s="155"/>
      <c r="I7" s="155"/>
      <c r="J7" s="155"/>
    </row>
    <row r="8" spans="2:10" ht="11.25">
      <c r="B8" s="156" t="s">
        <v>116</v>
      </c>
      <c r="C8" s="156"/>
      <c r="D8" s="156"/>
      <c r="E8" s="156"/>
      <c r="F8" s="156"/>
      <c r="G8" s="156"/>
      <c r="H8" s="156"/>
      <c r="I8" s="157">
        <f>Koptāme!D22</f>
        <v>181044.07</v>
      </c>
      <c r="J8" s="157"/>
    </row>
    <row r="9" spans="2:10" ht="11.25">
      <c r="B9" s="156" t="s">
        <v>117</v>
      </c>
      <c r="C9" s="156"/>
      <c r="D9" s="156"/>
      <c r="E9" s="156"/>
      <c r="F9" s="156"/>
      <c r="G9" s="156"/>
      <c r="H9" s="156"/>
      <c r="I9" s="157">
        <f>Kopsavilkums!I17</f>
        <v>3834.0454600000003</v>
      </c>
      <c r="J9" s="157"/>
    </row>
    <row r="10" spans="2:10" ht="11.25">
      <c r="B10" s="158" t="s">
        <v>118</v>
      </c>
      <c r="C10" s="158"/>
      <c r="D10" s="158"/>
      <c r="E10" s="158"/>
      <c r="F10" s="158"/>
      <c r="G10" s="158"/>
      <c r="H10" s="158"/>
      <c r="I10" s="158"/>
      <c r="J10" s="158"/>
    </row>
    <row r="11" spans="2:10" ht="11.25">
      <c r="B11" s="158" t="s">
        <v>119</v>
      </c>
      <c r="C11" s="158"/>
      <c r="D11" s="158"/>
      <c r="E11" s="87">
        <f>Kopsavilkums!C18</f>
        <v>0.07</v>
      </c>
      <c r="F11" s="87"/>
      <c r="G11" s="88"/>
      <c r="H11" s="88"/>
      <c r="I11" s="88"/>
      <c r="J11" s="88"/>
    </row>
    <row r="12" spans="2:10" ht="11.25">
      <c r="B12" s="158" t="s">
        <v>120</v>
      </c>
      <c r="C12" s="158"/>
      <c r="D12" s="158"/>
      <c r="E12" s="87">
        <f>Kopsavilkums!C20</f>
        <v>0.04</v>
      </c>
      <c r="F12" s="87"/>
      <c r="G12" s="88"/>
      <c r="H12" s="88"/>
      <c r="I12" s="88"/>
      <c r="J12" s="88"/>
    </row>
    <row r="13" spans="2:10" ht="21.75" customHeight="1">
      <c r="B13" s="159" t="s">
        <v>121</v>
      </c>
      <c r="C13" s="159"/>
      <c r="D13" s="159"/>
      <c r="E13" s="159"/>
      <c r="F13" s="159"/>
      <c r="G13" s="159"/>
      <c r="H13" s="159"/>
      <c r="I13" s="159"/>
      <c r="J13" s="159"/>
    </row>
    <row r="14" spans="2:10" ht="27" customHeight="1">
      <c r="B14" s="158" t="s">
        <v>122</v>
      </c>
      <c r="C14" s="158"/>
      <c r="D14" s="158"/>
      <c r="E14" s="158"/>
      <c r="F14" s="158"/>
      <c r="G14" s="158"/>
      <c r="H14" s="158"/>
      <c r="I14" s="158"/>
      <c r="J14" s="158"/>
    </row>
    <row r="15" spans="2:10" ht="28.5" customHeight="1">
      <c r="B15" s="160" t="s">
        <v>123</v>
      </c>
      <c r="C15" s="160"/>
      <c r="D15" s="160"/>
      <c r="E15" s="160"/>
      <c r="F15" s="160"/>
      <c r="G15" s="160"/>
      <c r="H15" s="160"/>
      <c r="I15" s="160"/>
      <c r="J15" s="160"/>
    </row>
    <row r="16" spans="2:10" ht="51.75" customHeight="1">
      <c r="B16" s="160" t="s">
        <v>124</v>
      </c>
      <c r="C16" s="160"/>
      <c r="D16" s="160"/>
      <c r="E16" s="160"/>
      <c r="F16" s="160"/>
      <c r="G16" s="160"/>
      <c r="H16" s="160"/>
      <c r="I16" s="160"/>
      <c r="J16" s="160"/>
    </row>
    <row r="17" spans="2:10" ht="20.25" customHeight="1">
      <c r="B17" s="160" t="s">
        <v>125</v>
      </c>
      <c r="C17" s="160"/>
      <c r="D17" s="160"/>
      <c r="E17" s="160"/>
      <c r="F17" s="160"/>
      <c r="G17" s="160"/>
      <c r="H17" s="160"/>
      <c r="I17" s="160"/>
      <c r="J17" s="160"/>
    </row>
    <row r="18" spans="2:10" ht="29.25" customHeight="1">
      <c r="B18" s="160" t="s">
        <v>126</v>
      </c>
      <c r="C18" s="160"/>
      <c r="D18" s="160"/>
      <c r="E18" s="160"/>
      <c r="F18" s="160"/>
      <c r="G18" s="160"/>
      <c r="H18" s="160"/>
      <c r="I18" s="160"/>
      <c r="J18" s="160"/>
    </row>
    <row r="19" spans="2:10" ht="24.75" customHeight="1">
      <c r="B19" s="160" t="s">
        <v>127</v>
      </c>
      <c r="C19" s="160"/>
      <c r="D19" s="160"/>
      <c r="E19" s="160"/>
      <c r="F19" s="160"/>
      <c r="G19" s="160"/>
      <c r="H19" s="160"/>
      <c r="I19" s="160"/>
      <c r="J19" s="160"/>
    </row>
    <row r="20" spans="2:10" ht="39" customHeight="1">
      <c r="B20" s="160" t="s">
        <v>128</v>
      </c>
      <c r="C20" s="161"/>
      <c r="D20" s="161"/>
      <c r="E20" s="161"/>
      <c r="F20" s="161"/>
      <c r="G20" s="161"/>
      <c r="H20" s="161"/>
      <c r="I20" s="161"/>
      <c r="J20" s="161"/>
    </row>
    <row r="21" spans="2:10" ht="38.25" customHeight="1">
      <c r="B21" s="162" t="s">
        <v>132</v>
      </c>
      <c r="C21" s="162"/>
      <c r="D21" s="162"/>
      <c r="E21" s="162"/>
      <c r="F21" s="162"/>
      <c r="G21" s="162"/>
      <c r="H21" s="162"/>
      <c r="I21" s="162"/>
      <c r="J21" s="162"/>
    </row>
    <row r="22" spans="2:7" ht="34.5" customHeight="1">
      <c r="B22" s="89" t="s">
        <v>129</v>
      </c>
      <c r="C22" s="89"/>
      <c r="G22" s="90" t="s">
        <v>75</v>
      </c>
    </row>
    <row r="23" spans="2:4" ht="12">
      <c r="B23" s="91"/>
      <c r="C23" s="92"/>
      <c r="D23" s="92"/>
    </row>
    <row r="24" spans="2:7" ht="12">
      <c r="B24" s="91" t="s">
        <v>130</v>
      </c>
      <c r="C24" s="92"/>
      <c r="G24" s="90" t="s">
        <v>131</v>
      </c>
    </row>
  </sheetData>
  <sheetProtection/>
  <mergeCells count="24">
    <mergeCell ref="B16:J16"/>
    <mergeCell ref="B17:J17"/>
    <mergeCell ref="B18:J18"/>
    <mergeCell ref="B19:J19"/>
    <mergeCell ref="B20:J20"/>
    <mergeCell ref="B21:J21"/>
    <mergeCell ref="B10:J10"/>
    <mergeCell ref="B11:D11"/>
    <mergeCell ref="B12:D12"/>
    <mergeCell ref="B13:J13"/>
    <mergeCell ref="B14:J14"/>
    <mergeCell ref="B15:J15"/>
    <mergeCell ref="B6:J6"/>
    <mergeCell ref="B7:J7"/>
    <mergeCell ref="B8:H8"/>
    <mergeCell ref="I8:J8"/>
    <mergeCell ref="B9:H9"/>
    <mergeCell ref="I9:J9"/>
    <mergeCell ref="B2:J2"/>
    <mergeCell ref="B3:J3"/>
    <mergeCell ref="B4:C4"/>
    <mergeCell ref="D4:J4"/>
    <mergeCell ref="B5:C5"/>
    <mergeCell ref="D5:J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Rolands JaunRīga-ECO</cp:lastModifiedBy>
  <cp:lastPrinted>2019-01-31T13:36:21Z</cp:lastPrinted>
  <dcterms:modified xsi:type="dcterms:W3CDTF">2019-02-21T10:18:43Z</dcterms:modified>
  <cp:category/>
  <cp:version/>
  <cp:contentType/>
  <cp:contentStatus/>
</cp:coreProperties>
</file>